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7530" tabRatio="871" firstSheet="27" activeTab="31"/>
  </bookViews>
  <sheets>
    <sheet name="Podetului" sheetId="6" r:id="rId1"/>
    <sheet name="Grigore Balan" sheetId="15" r:id="rId2"/>
    <sheet name="Stadionului" sheetId="2" r:id="rId3"/>
    <sheet name="Castanilor" sheetId="16" r:id="rId4"/>
    <sheet name="Primaverii" sheetId="7" r:id="rId5"/>
    <sheet name="Romulus Cioflec" sheetId="14" r:id="rId6"/>
    <sheet name="N.Colan" sheetId="8" r:id="rId7"/>
    <sheet name="Nicolae Iorga" sheetId="17" r:id="rId8"/>
    <sheet name="Cartier Oltului" sheetId="18" r:id="rId9"/>
    <sheet name="Oltului" sheetId="12" r:id="rId10"/>
    <sheet name="Bisericii" sheetId="9" r:id="rId11"/>
    <sheet name="Korosi cs Sandor" sheetId="19" r:id="rId12"/>
    <sheet name="Szekely Gyorgy" sheetId="10" r:id="rId13"/>
    <sheet name="Vasile Goldis" sheetId="11" r:id="rId14"/>
    <sheet name="Libertatii" sheetId="20" r:id="rId15"/>
    <sheet name="Lacramioarei" sheetId="21" r:id="rId16"/>
    <sheet name="Puskas Tivadar" sheetId="22" r:id="rId17"/>
    <sheet name="Narciselor" sheetId="23" r:id="rId18"/>
    <sheet name="Podului" sheetId="13" r:id="rId19"/>
    <sheet name="Daliei" sheetId="24" r:id="rId20"/>
    <sheet name="1 Decembrie 1918" sheetId="25" r:id="rId21"/>
    <sheet name="Ciucului" sheetId="4" r:id="rId22"/>
    <sheet name="Nuferilor" sheetId="26" r:id="rId23"/>
    <sheet name="David Feerencz" sheetId="27" r:id="rId24"/>
    <sheet name="Caminului" sheetId="3" r:id="rId25"/>
    <sheet name="Pescarilor" sheetId="5" r:id="rId26"/>
    <sheet name="Oltului 35" sheetId="1" r:id="rId27"/>
    <sheet name="Gabor Aron" sheetId="28" r:id="rId28"/>
    <sheet name="Cartier Simeria" sheetId="30" r:id="rId29"/>
    <sheet name="Cinepei" sheetId="31" r:id="rId30"/>
    <sheet name="Orko" sheetId="32" r:id="rId31"/>
    <sheet name="Debren" sheetId="36" r:id="rId32"/>
    <sheet name="Bartalis Ferencz" sheetId="38" r:id="rId33"/>
    <sheet name="Orban Balasz" sheetId="37" r:id="rId34"/>
  </sheets>
  <externalReferences>
    <externalReference r:id="rId35"/>
    <externalReference r:id="rId36"/>
  </externalReferences>
  <definedNames>
    <definedName name="_xlnm.Print_Area" localSheetId="32">'Bartalis Ferencz'!$A$1:$H$50</definedName>
    <definedName name="_xlnm.Print_Area" localSheetId="10">Bisericii!$A$1:$H$48</definedName>
    <definedName name="_xlnm.Print_Area" localSheetId="24">Caminului!$A$1:$H$48</definedName>
    <definedName name="_xlnm.Print_Area" localSheetId="28">'Cartier Simeria'!$A$1:$H$51</definedName>
    <definedName name="_xlnm.Print_Area" localSheetId="29">Cinepei!$A$1:$H$50</definedName>
    <definedName name="_xlnm.Print_Area" localSheetId="21">Ciucului!$A$1:$H$48</definedName>
    <definedName name="_xlnm.Print_Area" localSheetId="31">Debren!$A$1:$H$50</definedName>
    <definedName name="_xlnm.Print_Area" localSheetId="27">'Gabor Aron'!$A$1:$H$51</definedName>
    <definedName name="_xlnm.Print_Area" localSheetId="6">N.Colan!$A$1:$H$48</definedName>
    <definedName name="_xlnm.Print_Area" localSheetId="9">Oltului!$A$1:$H$48</definedName>
    <definedName name="_xlnm.Print_Area" localSheetId="26">'Oltului 35'!$A$1:$H$48</definedName>
    <definedName name="_xlnm.Print_Area" localSheetId="33">'Orban Balasz'!$A$1:$H$50</definedName>
    <definedName name="_xlnm.Print_Area" localSheetId="30">Orko!$A$1:$H$50</definedName>
    <definedName name="_xlnm.Print_Area" localSheetId="25">Pescarilor!$A$1:$H$48</definedName>
    <definedName name="_xlnm.Print_Area" localSheetId="0">Podetului!$A$1:$H$48</definedName>
    <definedName name="_xlnm.Print_Area" localSheetId="4">Primaverii!$A$1:$H$48</definedName>
    <definedName name="_xlnm.Print_Area" localSheetId="5">'Romulus Cioflec'!$A$1:$H$48</definedName>
    <definedName name="_xlnm.Print_Area" localSheetId="2">Stadionului!$A$1:$H$50</definedName>
    <definedName name="_xlnm.Print_Area" localSheetId="13">'Vasile Goldis'!$A$1:$H$48</definedName>
  </definedNames>
  <calcPr calcId="101716"/>
</workbook>
</file>

<file path=xl/calcChain.xml><?xml version="1.0" encoding="utf-8"?>
<calcChain xmlns="http://schemas.openxmlformats.org/spreadsheetml/2006/main">
  <c r="E30" i="37"/>
  <c r="E29"/>
  <c r="E30" i="38"/>
  <c r="E29"/>
  <c r="E50" i="36"/>
  <c r="E30"/>
  <c r="E29"/>
  <c r="E50" i="32"/>
  <c r="E30"/>
  <c r="E29"/>
  <c r="E30" i="31"/>
  <c r="E29"/>
  <c r="E31" i="30"/>
  <c r="E51"/>
  <c r="E50" i="28"/>
  <c r="J50"/>
  <c r="E31"/>
  <c r="E29"/>
  <c r="E40" i="38"/>
  <c r="E40" i="36"/>
  <c r="E40" i="37"/>
  <c r="E40" i="31"/>
  <c r="E40" i="32"/>
  <c r="E40" i="30"/>
  <c r="E41"/>
  <c r="E41" i="31"/>
  <c r="E41" i="32"/>
  <c r="E41" i="37"/>
  <c r="E41" i="36"/>
  <c r="E41" i="38"/>
  <c r="E40" i="28"/>
  <c r="E41"/>
  <c r="E23" i="38"/>
  <c r="E24" i="12"/>
  <c r="D31" i="38"/>
  <c r="D30"/>
  <c r="E48"/>
  <c r="E50"/>
  <c r="E25"/>
  <c r="D24"/>
  <c r="D23"/>
  <c r="F23"/>
  <c r="G31" i="37"/>
  <c r="H31"/>
  <c r="D31"/>
  <c r="F31"/>
  <c r="D30"/>
  <c r="E25"/>
  <c r="D24"/>
  <c r="D23"/>
  <c r="F23"/>
  <c r="D31" i="36"/>
  <c r="F31"/>
  <c r="G31"/>
  <c r="H31"/>
  <c r="D30"/>
  <c r="E48"/>
  <c r="E25"/>
  <c r="D24"/>
  <c r="D23"/>
  <c r="D31" i="32"/>
  <c r="D30"/>
  <c r="E48"/>
  <c r="E25"/>
  <c r="D24"/>
  <c r="D23"/>
  <c r="F23"/>
  <c r="D31" i="31"/>
  <c r="F31"/>
  <c r="G31"/>
  <c r="H31"/>
  <c r="E25"/>
  <c r="D24"/>
  <c r="D23"/>
  <c r="F23"/>
  <c r="E48" i="30"/>
  <c r="E32"/>
  <c r="D31"/>
  <c r="D30"/>
  <c r="F30"/>
  <c r="D29"/>
  <c r="F29"/>
  <c r="D24"/>
  <c r="E23"/>
  <c r="D23"/>
  <c r="F23"/>
  <c r="D31" i="28"/>
  <c r="D30"/>
  <c r="F30"/>
  <c r="E48"/>
  <c r="D24"/>
  <c r="E23"/>
  <c r="E25"/>
  <c r="F24" i="31"/>
  <c r="G24"/>
  <c r="H24"/>
  <c r="D25" i="36"/>
  <c r="F23"/>
  <c r="F24" i="30"/>
  <c r="G24"/>
  <c r="H24"/>
  <c r="F24" i="32"/>
  <c r="G24"/>
  <c r="H24"/>
  <c r="F31"/>
  <c r="G31"/>
  <c r="H31"/>
  <c r="F24" i="36"/>
  <c r="G24"/>
  <c r="H24"/>
  <c r="F24" i="38"/>
  <c r="G24"/>
  <c r="H24"/>
  <c r="F31"/>
  <c r="G31"/>
  <c r="H31"/>
  <c r="F24" i="37"/>
  <c r="G24"/>
  <c r="H24"/>
  <c r="F31" i="30"/>
  <c r="G31"/>
  <c r="H31"/>
  <c r="F30" i="37"/>
  <c r="G30"/>
  <c r="H30"/>
  <c r="F30" i="38"/>
  <c r="G30"/>
  <c r="H30"/>
  <c r="F30" i="36"/>
  <c r="G30"/>
  <c r="H30"/>
  <c r="F30" i="32"/>
  <c r="G30"/>
  <c r="H30"/>
  <c r="F31" i="28"/>
  <c r="G31"/>
  <c r="H31"/>
  <c r="F24"/>
  <c r="G24"/>
  <c r="H24"/>
  <c r="D25" i="31"/>
  <c r="E25" i="30"/>
  <c r="E47"/>
  <c r="D32"/>
  <c r="D25" i="32"/>
  <c r="D25" i="37"/>
  <c r="D25" i="38"/>
  <c r="E48" i="31"/>
  <c r="E50"/>
  <c r="E48" i="37"/>
  <c r="E50"/>
  <c r="D30" i="31"/>
  <c r="D48" i="30"/>
  <c r="F25"/>
  <c r="G23"/>
  <c r="D23" i="28"/>
  <c r="F23"/>
  <c r="D29"/>
  <c r="G30"/>
  <c r="H30"/>
  <c r="D25" i="30"/>
  <c r="G30"/>
  <c r="H30"/>
  <c r="D29" i="31"/>
  <c r="D29" i="32"/>
  <c r="D29" i="36"/>
  <c r="D29" i="37"/>
  <c r="D29" i="38"/>
  <c r="E32" i="28"/>
  <c r="E47"/>
  <c r="E32" i="31"/>
  <c r="E47"/>
  <c r="E32" i="32"/>
  <c r="E47"/>
  <c r="E32" i="36"/>
  <c r="E47"/>
  <c r="E32" i="37"/>
  <c r="E47"/>
  <c r="E32" i="38"/>
  <c r="E47"/>
  <c r="D47" i="30"/>
  <c r="D48" i="37"/>
  <c r="F29"/>
  <c r="D48" i="38"/>
  <c r="F29"/>
  <c r="D48" i="36"/>
  <c r="F29"/>
  <c r="D48" i="32"/>
  <c r="F29"/>
  <c r="F30" i="31"/>
  <c r="G30"/>
  <c r="H30"/>
  <c r="D48"/>
  <c r="F29"/>
  <c r="D48" i="28"/>
  <c r="F29"/>
  <c r="D32" i="38"/>
  <c r="D47"/>
  <c r="F25" i="37"/>
  <c r="G23"/>
  <c r="D32" i="36"/>
  <c r="D47"/>
  <c r="D32" i="32"/>
  <c r="D47"/>
  <c r="F25" i="31"/>
  <c r="G23"/>
  <c r="G29" i="30"/>
  <c r="F48"/>
  <c r="F32"/>
  <c r="F47"/>
  <c r="D25" i="28"/>
  <c r="F25" i="38"/>
  <c r="G23"/>
  <c r="D32" i="37"/>
  <c r="D47"/>
  <c r="F25" i="36"/>
  <c r="G23"/>
  <c r="F25" i="32"/>
  <c r="G23"/>
  <c r="D32" i="31"/>
  <c r="D47"/>
  <c r="D32" i="28"/>
  <c r="D47"/>
  <c r="G25" i="30"/>
  <c r="H23"/>
  <c r="H25"/>
  <c r="F25" i="28"/>
  <c r="G23"/>
  <c r="G48" i="30"/>
  <c r="G32"/>
  <c r="G47"/>
  <c r="H29"/>
  <c r="G29" i="28"/>
  <c r="F48"/>
  <c r="F32"/>
  <c r="G29" i="31"/>
  <c r="F48"/>
  <c r="F32"/>
  <c r="F47"/>
  <c r="G25" i="32"/>
  <c r="H23"/>
  <c r="H25"/>
  <c r="G25" i="36"/>
  <c r="H23"/>
  <c r="H25"/>
  <c r="G29" i="37"/>
  <c r="F48"/>
  <c r="F32"/>
  <c r="F47"/>
  <c r="G25" i="38"/>
  <c r="H23"/>
  <c r="H25"/>
  <c r="G25" i="31"/>
  <c r="H23"/>
  <c r="H25"/>
  <c r="G29" i="32"/>
  <c r="F48"/>
  <c r="F32"/>
  <c r="F47"/>
  <c r="G29" i="36"/>
  <c r="F48"/>
  <c r="F32"/>
  <c r="F47"/>
  <c r="G25" i="37"/>
  <c r="H23"/>
  <c r="H25"/>
  <c r="G29" i="38"/>
  <c r="F48"/>
  <c r="F32"/>
  <c r="F47"/>
  <c r="G48" i="36"/>
  <c r="G32"/>
  <c r="G47"/>
  <c r="H29"/>
  <c r="G48" i="32"/>
  <c r="G32"/>
  <c r="G47"/>
  <c r="H29"/>
  <c r="G48" i="31"/>
  <c r="G32"/>
  <c r="G47"/>
  <c r="H29"/>
  <c r="H48" i="30"/>
  <c r="H32"/>
  <c r="H47"/>
  <c r="F47" i="28"/>
  <c r="G48" i="38"/>
  <c r="G32"/>
  <c r="G47"/>
  <c r="H29"/>
  <c r="G48" i="37"/>
  <c r="G32"/>
  <c r="G47"/>
  <c r="H29"/>
  <c r="G48" i="28"/>
  <c r="G32"/>
  <c r="H29"/>
  <c r="G25"/>
  <c r="H23"/>
  <c r="H25"/>
  <c r="G47"/>
  <c r="H48" i="36"/>
  <c r="H32"/>
  <c r="H47"/>
  <c r="H48" i="28"/>
  <c r="H32"/>
  <c r="H47"/>
  <c r="H48" i="37"/>
  <c r="H32"/>
  <c r="H47"/>
  <c r="H48" i="38"/>
  <c r="H32"/>
  <c r="H47"/>
  <c r="H48" i="31"/>
  <c r="H32"/>
  <c r="H47"/>
  <c r="H48" i="32"/>
  <c r="H32"/>
  <c r="H47"/>
  <c r="E48" i="27"/>
  <c r="E32"/>
  <c r="D31"/>
  <c r="F31"/>
  <c r="G31"/>
  <c r="H31"/>
  <c r="F30"/>
  <c r="G30"/>
  <c r="H30"/>
  <c r="D30"/>
  <c r="D29"/>
  <c r="D32"/>
  <c r="D24"/>
  <c r="F24"/>
  <c r="G24"/>
  <c r="H24"/>
  <c r="E23"/>
  <c r="E25"/>
  <c r="E47"/>
  <c r="E48" i="26"/>
  <c r="E32"/>
  <c r="D31"/>
  <c r="F31"/>
  <c r="G31"/>
  <c r="H31"/>
  <c r="D30"/>
  <c r="D29"/>
  <c r="D32"/>
  <c r="F24"/>
  <c r="G24"/>
  <c r="H24"/>
  <c r="D24"/>
  <c r="E23"/>
  <c r="E25"/>
  <c r="E48" i="25"/>
  <c r="E32"/>
  <c r="D31"/>
  <c r="F31"/>
  <c r="G31"/>
  <c r="H31"/>
  <c r="D30"/>
  <c r="F30"/>
  <c r="G30"/>
  <c r="H30"/>
  <c r="D29"/>
  <c r="D24"/>
  <c r="F24"/>
  <c r="G24"/>
  <c r="H24"/>
  <c r="E23"/>
  <c r="E25"/>
  <c r="E47"/>
  <c r="E48" i="24"/>
  <c r="E32"/>
  <c r="D31"/>
  <c r="F31"/>
  <c r="G31"/>
  <c r="H31"/>
  <c r="D30"/>
  <c r="D29"/>
  <c r="D24"/>
  <c r="F24"/>
  <c r="G24"/>
  <c r="H24"/>
  <c r="E23"/>
  <c r="E25"/>
  <c r="E47"/>
  <c r="E48" i="23"/>
  <c r="E32"/>
  <c r="D31"/>
  <c r="F31"/>
  <c r="G31"/>
  <c r="H31"/>
  <c r="F30"/>
  <c r="G30"/>
  <c r="H30"/>
  <c r="D30"/>
  <c r="D29"/>
  <c r="D32"/>
  <c r="D24"/>
  <c r="F24"/>
  <c r="G24"/>
  <c r="H24"/>
  <c r="E23"/>
  <c r="E25"/>
  <c r="E47"/>
  <c r="E48" i="22"/>
  <c r="E32"/>
  <c r="D31"/>
  <c r="F31"/>
  <c r="G31"/>
  <c r="H31"/>
  <c r="D30"/>
  <c r="D29"/>
  <c r="D32"/>
  <c r="F24"/>
  <c r="G24"/>
  <c r="H24"/>
  <c r="D24"/>
  <c r="E23"/>
  <c r="E25"/>
  <c r="E48" i="21"/>
  <c r="E32"/>
  <c r="D31"/>
  <c r="F31"/>
  <c r="G31"/>
  <c r="H31"/>
  <c r="D30"/>
  <c r="F30"/>
  <c r="G30"/>
  <c r="H30"/>
  <c r="D29"/>
  <c r="D24"/>
  <c r="F24"/>
  <c r="G24"/>
  <c r="H24"/>
  <c r="E23"/>
  <c r="E25"/>
  <c r="E47"/>
  <c r="E48" i="20"/>
  <c r="E32"/>
  <c r="D31"/>
  <c r="F31"/>
  <c r="G31"/>
  <c r="H31"/>
  <c r="D30"/>
  <c r="D29"/>
  <c r="D24"/>
  <c r="F24"/>
  <c r="G24"/>
  <c r="H24"/>
  <c r="E23"/>
  <c r="E25"/>
  <c r="E47"/>
  <c r="E48" i="19"/>
  <c r="E32"/>
  <c r="D31"/>
  <c r="F31"/>
  <c r="G31"/>
  <c r="H31"/>
  <c r="F30"/>
  <c r="G30"/>
  <c r="H30"/>
  <c r="D30"/>
  <c r="D29"/>
  <c r="D32"/>
  <c r="D24"/>
  <c r="F24"/>
  <c r="G24"/>
  <c r="H24"/>
  <c r="E23"/>
  <c r="E25"/>
  <c r="E47"/>
  <c r="E48" i="18"/>
  <c r="E32"/>
  <c r="D31"/>
  <c r="F31"/>
  <c r="G31"/>
  <c r="H31"/>
  <c r="D30"/>
  <c r="D29"/>
  <c r="D32"/>
  <c r="F24"/>
  <c r="G24"/>
  <c r="H24"/>
  <c r="D24"/>
  <c r="E23"/>
  <c r="E25"/>
  <c r="E48" i="17"/>
  <c r="E32"/>
  <c r="D31"/>
  <c r="F31"/>
  <c r="G31"/>
  <c r="H31"/>
  <c r="D30"/>
  <c r="F30"/>
  <c r="G30"/>
  <c r="H30"/>
  <c r="D29"/>
  <c r="D24"/>
  <c r="F24"/>
  <c r="G24"/>
  <c r="H24"/>
  <c r="E23"/>
  <c r="E25"/>
  <c r="E47"/>
  <c r="E48" i="16"/>
  <c r="E32"/>
  <c r="D31"/>
  <c r="F31"/>
  <c r="G31"/>
  <c r="H31"/>
  <c r="D30"/>
  <c r="D29"/>
  <c r="D24"/>
  <c r="F24"/>
  <c r="G24"/>
  <c r="H24"/>
  <c r="E23"/>
  <c r="E25"/>
  <c r="E47"/>
  <c r="D23"/>
  <c r="F23"/>
  <c r="E48" i="15"/>
  <c r="E32"/>
  <c r="D31"/>
  <c r="F31"/>
  <c r="G31"/>
  <c r="H31"/>
  <c r="D30"/>
  <c r="D29"/>
  <c r="D24"/>
  <c r="F24"/>
  <c r="G24"/>
  <c r="H24"/>
  <c r="E23"/>
  <c r="E25"/>
  <c r="E47"/>
  <c r="F29" i="19"/>
  <c r="F48"/>
  <c r="F29" i="23"/>
  <c r="F48"/>
  <c r="F29" i="27"/>
  <c r="F48"/>
  <c r="D32" i="17"/>
  <c r="E47" i="18"/>
  <c r="D32" i="21"/>
  <c r="E47" i="22"/>
  <c r="D32" i="25"/>
  <c r="E47" i="26"/>
  <c r="D32" i="15"/>
  <c r="D32" i="16"/>
  <c r="F29" i="17"/>
  <c r="F48"/>
  <c r="D32" i="20"/>
  <c r="F29" i="21"/>
  <c r="F48"/>
  <c r="D32" i="24"/>
  <c r="F29" i="25"/>
  <c r="F48"/>
  <c r="D48" i="15"/>
  <c r="F29"/>
  <c r="F48"/>
  <c r="F30"/>
  <c r="G30"/>
  <c r="H30"/>
  <c r="D48" i="16"/>
  <c r="D48" i="17"/>
  <c r="D23" i="18"/>
  <c r="F23"/>
  <c r="F25"/>
  <c r="D48"/>
  <c r="D48" i="19"/>
  <c r="D23" i="20"/>
  <c r="F23"/>
  <c r="D48"/>
  <c r="D48" i="21"/>
  <c r="D23" i="22"/>
  <c r="F23"/>
  <c r="F25"/>
  <c r="D48"/>
  <c r="D48" i="23"/>
  <c r="D23" i="24"/>
  <c r="F23"/>
  <c r="D48"/>
  <c r="D48" i="25"/>
  <c r="D23" i="26"/>
  <c r="F23"/>
  <c r="F25"/>
  <c r="D48"/>
  <c r="D48" i="27"/>
  <c r="F25" i="16"/>
  <c r="G23"/>
  <c r="G23" i="18"/>
  <c r="F25" i="20"/>
  <c r="G23"/>
  <c r="G23" i="22"/>
  <c r="F25" i="24"/>
  <c r="G23"/>
  <c r="G23" i="26"/>
  <c r="D23" i="15"/>
  <c r="G29"/>
  <c r="D25" i="16"/>
  <c r="D47"/>
  <c r="F29"/>
  <c r="F30"/>
  <c r="G30"/>
  <c r="H30"/>
  <c r="D23" i="17"/>
  <c r="G29"/>
  <c r="F32"/>
  <c r="D25" i="18"/>
  <c r="D47"/>
  <c r="F29"/>
  <c r="F30"/>
  <c r="G30"/>
  <c r="H30"/>
  <c r="D23" i="19"/>
  <c r="G29"/>
  <c r="F32"/>
  <c r="D25" i="20"/>
  <c r="D47"/>
  <c r="F29"/>
  <c r="F30"/>
  <c r="G30"/>
  <c r="H30"/>
  <c r="D23" i="21"/>
  <c r="G29"/>
  <c r="F32"/>
  <c r="D25" i="22"/>
  <c r="D47"/>
  <c r="F29"/>
  <c r="F30"/>
  <c r="G30"/>
  <c r="H30"/>
  <c r="D23" i="23"/>
  <c r="G29"/>
  <c r="F32"/>
  <c r="D25" i="24"/>
  <c r="D47"/>
  <c r="F29"/>
  <c r="F30"/>
  <c r="G30"/>
  <c r="H30"/>
  <c r="D23" i="25"/>
  <c r="G29"/>
  <c r="F32"/>
  <c r="D25" i="26"/>
  <c r="D47"/>
  <c r="F29"/>
  <c r="F30"/>
  <c r="G30"/>
  <c r="H30"/>
  <c r="D23" i="27"/>
  <c r="G29"/>
  <c r="F32"/>
  <c r="F32" i="15"/>
  <c r="G48" i="27"/>
  <c r="G32"/>
  <c r="H29"/>
  <c r="G48" i="25"/>
  <c r="G32"/>
  <c r="H29"/>
  <c r="G48" i="23"/>
  <c r="G32"/>
  <c r="H29"/>
  <c r="G48" i="21"/>
  <c r="G32"/>
  <c r="H29"/>
  <c r="G48" i="19"/>
  <c r="G32"/>
  <c r="H29"/>
  <c r="G48" i="17"/>
  <c r="G32"/>
  <c r="H29"/>
  <c r="G48" i="15"/>
  <c r="G32"/>
  <c r="H29"/>
  <c r="D25" i="27"/>
  <c r="D47"/>
  <c r="F23"/>
  <c r="F48" i="26"/>
  <c r="F32"/>
  <c r="F47"/>
  <c r="G29"/>
  <c r="D25" i="25"/>
  <c r="D47"/>
  <c r="F23"/>
  <c r="F48" i="24"/>
  <c r="F32"/>
  <c r="F47"/>
  <c r="G29"/>
  <c r="D25" i="23"/>
  <c r="D47"/>
  <c r="F23"/>
  <c r="F48" i="22"/>
  <c r="F32"/>
  <c r="F47"/>
  <c r="G29"/>
  <c r="D25" i="21"/>
  <c r="D47"/>
  <c r="F23"/>
  <c r="F48" i="20"/>
  <c r="F32"/>
  <c r="F47"/>
  <c r="G29"/>
  <c r="D25" i="19"/>
  <c r="D47"/>
  <c r="F23"/>
  <c r="F48" i="18"/>
  <c r="F32"/>
  <c r="F47"/>
  <c r="G29"/>
  <c r="D25" i="17"/>
  <c r="D47"/>
  <c r="F23"/>
  <c r="F48" i="16"/>
  <c r="F32"/>
  <c r="F47"/>
  <c r="G29"/>
  <c r="D25" i="15"/>
  <c r="D47"/>
  <c r="F23"/>
  <c r="G25" i="26"/>
  <c r="H23"/>
  <c r="H25"/>
  <c r="G25" i="24"/>
  <c r="H23"/>
  <c r="H25"/>
  <c r="G25" i="22"/>
  <c r="H23"/>
  <c r="H25"/>
  <c r="G25" i="20"/>
  <c r="H23"/>
  <c r="H25"/>
  <c r="G25" i="18"/>
  <c r="H23"/>
  <c r="H25"/>
  <c r="G25" i="16"/>
  <c r="H23"/>
  <c r="H25"/>
  <c r="F25" i="15"/>
  <c r="F47"/>
  <c r="G23"/>
  <c r="G48" i="16"/>
  <c r="G32"/>
  <c r="G47"/>
  <c r="H29"/>
  <c r="F25" i="19"/>
  <c r="F47"/>
  <c r="G23"/>
  <c r="G48" i="20"/>
  <c r="G32"/>
  <c r="H29"/>
  <c r="F25" i="23"/>
  <c r="F47"/>
  <c r="G23"/>
  <c r="G48" i="24"/>
  <c r="G32"/>
  <c r="G47"/>
  <c r="H29"/>
  <c r="F25" i="27"/>
  <c r="F47"/>
  <c r="G23"/>
  <c r="H48" i="15"/>
  <c r="H32"/>
  <c r="H48" i="19"/>
  <c r="H32"/>
  <c r="H48" i="23"/>
  <c r="H32"/>
  <c r="H48" i="27"/>
  <c r="H32"/>
  <c r="F25" i="17"/>
  <c r="F47"/>
  <c r="G23"/>
  <c r="G48" i="18"/>
  <c r="G32"/>
  <c r="H29"/>
  <c r="F25" i="21"/>
  <c r="F47"/>
  <c r="G23"/>
  <c r="G48" i="22"/>
  <c r="G32"/>
  <c r="H29"/>
  <c r="F25" i="25"/>
  <c r="F47"/>
  <c r="G23"/>
  <c r="G48" i="26"/>
  <c r="G32"/>
  <c r="H29"/>
  <c r="H48" i="17"/>
  <c r="H32"/>
  <c r="H48" i="21"/>
  <c r="H32"/>
  <c r="H48" i="25"/>
  <c r="H32"/>
  <c r="G47" i="18"/>
  <c r="G47" i="20"/>
  <c r="G47" i="22"/>
  <c r="G47" i="26"/>
  <c r="G25" i="25"/>
  <c r="G47"/>
  <c r="H23"/>
  <c r="H25"/>
  <c r="H47"/>
  <c r="H48" i="22"/>
  <c r="H32"/>
  <c r="H47"/>
  <c r="G25" i="17"/>
  <c r="G47"/>
  <c r="H23"/>
  <c r="H25"/>
  <c r="H47"/>
  <c r="G25" i="27"/>
  <c r="G47"/>
  <c r="H23"/>
  <c r="H25"/>
  <c r="H47"/>
  <c r="H48" i="24"/>
  <c r="H32"/>
  <c r="H47"/>
  <c r="G25" i="19"/>
  <c r="G47"/>
  <c r="H23"/>
  <c r="H25"/>
  <c r="H47"/>
  <c r="H48" i="16"/>
  <c r="H32"/>
  <c r="H47"/>
  <c r="H48" i="26"/>
  <c r="H32"/>
  <c r="H47"/>
  <c r="G25" i="21"/>
  <c r="G47"/>
  <c r="H23"/>
  <c r="H25"/>
  <c r="H47"/>
  <c r="H48" i="18"/>
  <c r="H32"/>
  <c r="H47"/>
  <c r="G25" i="23"/>
  <c r="G47"/>
  <c r="H23"/>
  <c r="H25"/>
  <c r="H47"/>
  <c r="H48" i="20"/>
  <c r="H32"/>
  <c r="H47"/>
  <c r="G25" i="15"/>
  <c r="G47"/>
  <c r="H23"/>
  <c r="H25"/>
  <c r="H47"/>
  <c r="E23" i="3"/>
  <c r="E23" i="13"/>
  <c r="D23"/>
  <c r="F23"/>
  <c r="E23" i="8"/>
  <c r="E23" i="14"/>
  <c r="D23"/>
  <c r="D25"/>
  <c r="E23" i="2"/>
  <c r="D23" i="9"/>
  <c r="E23"/>
  <c r="F23"/>
  <c r="D24"/>
  <c r="F24"/>
  <c r="G24"/>
  <c r="H24"/>
  <c r="E25"/>
  <c r="E47"/>
  <c r="D29"/>
  <c r="F29"/>
  <c r="G29"/>
  <c r="D30"/>
  <c r="F30"/>
  <c r="G30"/>
  <c r="H30"/>
  <c r="D31"/>
  <c r="F31"/>
  <c r="G31"/>
  <c r="H31"/>
  <c r="E32"/>
  <c r="F32"/>
  <c r="D48"/>
  <c r="E48"/>
  <c r="F48"/>
  <c r="D23" i="3"/>
  <c r="D24"/>
  <c r="F24"/>
  <c r="G24"/>
  <c r="H24"/>
  <c r="E25"/>
  <c r="D29"/>
  <c r="F29"/>
  <c r="D30"/>
  <c r="F30"/>
  <c r="G30"/>
  <c r="H30"/>
  <c r="D31"/>
  <c r="F31"/>
  <c r="G31"/>
  <c r="H31"/>
  <c r="E32"/>
  <c r="E47"/>
  <c r="D48"/>
  <c r="E48"/>
  <c r="E23" i="4"/>
  <c r="E25"/>
  <c r="E47"/>
  <c r="D24"/>
  <c r="F24"/>
  <c r="G24"/>
  <c r="H24"/>
  <c r="D29"/>
  <c r="F29"/>
  <c r="G29"/>
  <c r="D30"/>
  <c r="F30"/>
  <c r="G30"/>
  <c r="H30"/>
  <c r="D31"/>
  <c r="F31"/>
  <c r="G31"/>
  <c r="H31"/>
  <c r="D32"/>
  <c r="E32"/>
  <c r="D48"/>
  <c r="E48"/>
  <c r="D23" i="8"/>
  <c r="F23"/>
  <c r="D24"/>
  <c r="F24"/>
  <c r="G24"/>
  <c r="H24"/>
  <c r="E25"/>
  <c r="D29"/>
  <c r="F29"/>
  <c r="D30"/>
  <c r="D32"/>
  <c r="D31"/>
  <c r="F31"/>
  <c r="G31"/>
  <c r="H31"/>
  <c r="E32"/>
  <c r="E47"/>
  <c r="E48"/>
  <c r="D23" i="12"/>
  <c r="F23"/>
  <c r="G23"/>
  <c r="H23"/>
  <c r="D24"/>
  <c r="F24"/>
  <c r="E25"/>
  <c r="D29"/>
  <c r="E29"/>
  <c r="F29"/>
  <c r="G29"/>
  <c r="H29"/>
  <c r="D30"/>
  <c r="F30"/>
  <c r="G30"/>
  <c r="H30"/>
  <c r="E31"/>
  <c r="E23" i="1"/>
  <c r="D24"/>
  <c r="F24"/>
  <c r="G24"/>
  <c r="H24"/>
  <c r="D29"/>
  <c r="F29"/>
  <c r="E30"/>
  <c r="E32"/>
  <c r="F30"/>
  <c r="G30"/>
  <c r="H30"/>
  <c r="E31"/>
  <c r="E48"/>
  <c r="J50"/>
  <c r="F31"/>
  <c r="G31"/>
  <c r="H31"/>
  <c r="D32"/>
  <c r="D48"/>
  <c r="J51"/>
  <c r="E23" i="5"/>
  <c r="D23"/>
  <c r="D24"/>
  <c r="F24"/>
  <c r="G24"/>
  <c r="H24"/>
  <c r="D29"/>
  <c r="F29"/>
  <c r="G29"/>
  <c r="D30"/>
  <c r="F30"/>
  <c r="G30"/>
  <c r="H30"/>
  <c r="D31"/>
  <c r="F31"/>
  <c r="G31"/>
  <c r="H31"/>
  <c r="D32"/>
  <c r="E32"/>
  <c r="E48"/>
  <c r="D23" i="6"/>
  <c r="D25"/>
  <c r="E23"/>
  <c r="D24"/>
  <c r="F24"/>
  <c r="G24"/>
  <c r="H24"/>
  <c r="E25"/>
  <c r="D29"/>
  <c r="F29"/>
  <c r="G29"/>
  <c r="D30"/>
  <c r="F30"/>
  <c r="G30"/>
  <c r="H30"/>
  <c r="D31"/>
  <c r="F31"/>
  <c r="G31"/>
  <c r="H31"/>
  <c r="D32"/>
  <c r="E32"/>
  <c r="E47"/>
  <c r="D48"/>
  <c r="E48"/>
  <c r="D24" i="13"/>
  <c r="F24"/>
  <c r="G24"/>
  <c r="H24"/>
  <c r="D29"/>
  <c r="F29"/>
  <c r="D30"/>
  <c r="D31"/>
  <c r="F31"/>
  <c r="G31"/>
  <c r="H31"/>
  <c r="E32"/>
  <c r="E48"/>
  <c r="D23" i="7"/>
  <c r="D25"/>
  <c r="E23"/>
  <c r="D24"/>
  <c r="F24"/>
  <c r="G24"/>
  <c r="H24"/>
  <c r="E25"/>
  <c r="D29"/>
  <c r="F29"/>
  <c r="G29"/>
  <c r="D30"/>
  <c r="F30"/>
  <c r="G30"/>
  <c r="H30"/>
  <c r="D31"/>
  <c r="F31"/>
  <c r="G31"/>
  <c r="H31"/>
  <c r="E32"/>
  <c r="E47"/>
  <c r="E48"/>
  <c r="F23" i="14"/>
  <c r="G23"/>
  <c r="D24"/>
  <c r="F24"/>
  <c r="G24"/>
  <c r="H24"/>
  <c r="D29"/>
  <c r="F29"/>
  <c r="G29"/>
  <c r="H29"/>
  <c r="D30"/>
  <c r="F30"/>
  <c r="G30"/>
  <c r="H30"/>
  <c r="D31"/>
  <c r="F31"/>
  <c r="G31"/>
  <c r="E32"/>
  <c r="E48"/>
  <c r="D23" i="2"/>
  <c r="F23"/>
  <c r="D24"/>
  <c r="F24"/>
  <c r="G24"/>
  <c r="H24"/>
  <c r="E25"/>
  <c r="D29"/>
  <c r="F29"/>
  <c r="D30"/>
  <c r="F30"/>
  <c r="G30"/>
  <c r="H30"/>
  <c r="D31"/>
  <c r="E32"/>
  <c r="E47"/>
  <c r="E48"/>
  <c r="E23" i="10"/>
  <c r="D24"/>
  <c r="F24"/>
  <c r="G24"/>
  <c r="H24"/>
  <c r="D29"/>
  <c r="F29"/>
  <c r="D30"/>
  <c r="F30"/>
  <c r="G30"/>
  <c r="H30"/>
  <c r="D31"/>
  <c r="F31"/>
  <c r="G31"/>
  <c r="H31"/>
  <c r="E32"/>
  <c r="E48"/>
  <c r="D23" i="11"/>
  <c r="F23"/>
  <c r="E23"/>
  <c r="D24"/>
  <c r="F24"/>
  <c r="G24"/>
  <c r="H24"/>
  <c r="E25"/>
  <c r="D29"/>
  <c r="F29"/>
  <c r="G29"/>
  <c r="D30"/>
  <c r="F30"/>
  <c r="G30"/>
  <c r="H30"/>
  <c r="D31"/>
  <c r="F31"/>
  <c r="G31"/>
  <c r="H31"/>
  <c r="E32"/>
  <c r="F32"/>
  <c r="E47"/>
  <c r="E48"/>
  <c r="F48"/>
  <c r="D48" i="10"/>
  <c r="D32" i="2"/>
  <c r="D47"/>
  <c r="D32" i="14"/>
  <c r="D47"/>
  <c r="E25"/>
  <c r="F48" i="7"/>
  <c r="F32"/>
  <c r="F48" i="6"/>
  <c r="F32"/>
  <c r="D23" i="4"/>
  <c r="D32" i="9"/>
  <c r="E47" i="14"/>
  <c r="D48" i="11"/>
  <c r="D32"/>
  <c r="D47"/>
  <c r="E54" i="2"/>
  <c r="D25"/>
  <c r="F23" i="7"/>
  <c r="F23" i="6"/>
  <c r="G23"/>
  <c r="D48" i="5"/>
  <c r="F48" i="4"/>
  <c r="F32"/>
  <c r="D32" i="3"/>
  <c r="D25" i="9"/>
  <c r="D47"/>
  <c r="D57"/>
  <c r="D25" i="11"/>
  <c r="D32" i="10"/>
  <c r="D48" i="14"/>
  <c r="D48" i="7"/>
  <c r="D32"/>
  <c r="D47"/>
  <c r="D32" i="13"/>
  <c r="D25" i="8"/>
  <c r="D47"/>
  <c r="H29" i="7"/>
  <c r="G32"/>
  <c r="G48"/>
  <c r="H29" i="11"/>
  <c r="G32"/>
  <c r="G48"/>
  <c r="G23"/>
  <c r="F25"/>
  <c r="F47"/>
  <c r="F30" i="13"/>
  <c r="F48"/>
  <c r="D48"/>
  <c r="H29" i="6"/>
  <c r="G32"/>
  <c r="G48"/>
  <c r="F23" i="5"/>
  <c r="D25"/>
  <c r="D47"/>
  <c r="G29" i="10"/>
  <c r="F32"/>
  <c r="F48"/>
  <c r="D23"/>
  <c r="E25"/>
  <c r="E47"/>
  <c r="F31" i="2"/>
  <c r="G31"/>
  <c r="H31"/>
  <c r="D48"/>
  <c r="F48" i="14"/>
  <c r="G23" i="7"/>
  <c r="F25"/>
  <c r="F47"/>
  <c r="G29" i="13"/>
  <c r="D25"/>
  <c r="D47"/>
  <c r="D47" i="6"/>
  <c r="H29" i="5"/>
  <c r="G32"/>
  <c r="G48"/>
  <c r="G29" i="1"/>
  <c r="F32"/>
  <c r="F48"/>
  <c r="M49"/>
  <c r="D23"/>
  <c r="E25"/>
  <c r="E47"/>
  <c r="D31" i="12"/>
  <c r="E32"/>
  <c r="E47"/>
  <c r="E48"/>
  <c r="F30" i="8"/>
  <c r="D48"/>
  <c r="F48"/>
  <c r="H29" i="4"/>
  <c r="G32"/>
  <c r="G48"/>
  <c r="H29" i="9"/>
  <c r="G32"/>
  <c r="G48"/>
  <c r="G23"/>
  <c r="F25"/>
  <c r="F47"/>
  <c r="E25" i="13"/>
  <c r="E47"/>
  <c r="F25" i="6"/>
  <c r="F47"/>
  <c r="F48" i="5"/>
  <c r="F32"/>
  <c r="E25"/>
  <c r="E47"/>
  <c r="G29" i="8"/>
  <c r="G29" i="3"/>
  <c r="F32"/>
  <c r="F48"/>
  <c r="F23"/>
  <c r="G23"/>
  <c r="D25"/>
  <c r="F25"/>
  <c r="F47"/>
  <c r="G23" i="13"/>
  <c r="F25"/>
  <c r="D25" i="12"/>
  <c r="G24"/>
  <c r="F25"/>
  <c r="F25" i="8"/>
  <c r="G23"/>
  <c r="H31" i="14"/>
  <c r="G32"/>
  <c r="G48"/>
  <c r="F32"/>
  <c r="H23"/>
  <c r="H25"/>
  <c r="G25"/>
  <c r="G47"/>
  <c r="F25"/>
  <c r="G23" i="2"/>
  <c r="F25"/>
  <c r="G29"/>
  <c r="G48"/>
  <c r="F32"/>
  <c r="H29"/>
  <c r="H23" i="6"/>
  <c r="H25"/>
  <c r="G25"/>
  <c r="G47"/>
  <c r="F48" i="2"/>
  <c r="F47" i="14"/>
  <c r="D47" i="3"/>
  <c r="D25" i="4"/>
  <c r="D47"/>
  <c r="F23"/>
  <c r="G32" i="2"/>
  <c r="H32" i="9"/>
  <c r="H48"/>
  <c r="G30" i="8"/>
  <c r="H30"/>
  <c r="F32"/>
  <c r="F47"/>
  <c r="H29" i="1"/>
  <c r="G32"/>
  <c r="G48"/>
  <c r="H29" i="13"/>
  <c r="G48"/>
  <c r="G25" i="7"/>
  <c r="G47"/>
  <c r="H23"/>
  <c r="H25"/>
  <c r="G32" i="10"/>
  <c r="G48"/>
  <c r="H29"/>
  <c r="G30" i="13"/>
  <c r="H30"/>
  <c r="F32"/>
  <c r="F47"/>
  <c r="H32" i="11"/>
  <c r="H48"/>
  <c r="G32" i="3"/>
  <c r="G48"/>
  <c r="H29"/>
  <c r="H29" i="8"/>
  <c r="G32"/>
  <c r="G48"/>
  <c r="H23" i="9"/>
  <c r="H25"/>
  <c r="H47"/>
  <c r="G25"/>
  <c r="G47"/>
  <c r="H32" i="4"/>
  <c r="H48"/>
  <c r="F31" i="12"/>
  <c r="D48"/>
  <c r="D32"/>
  <c r="D47"/>
  <c r="F23" i="1"/>
  <c r="D25"/>
  <c r="D47"/>
  <c r="H32" i="5"/>
  <c r="H48"/>
  <c r="F23" i="10"/>
  <c r="D25"/>
  <c r="D47"/>
  <c r="G23" i="5"/>
  <c r="F25"/>
  <c r="F47"/>
  <c r="H32" i="6"/>
  <c r="H47"/>
  <c r="H48"/>
  <c r="H23" i="11"/>
  <c r="H25"/>
  <c r="G25"/>
  <c r="G47"/>
  <c r="H32" i="7"/>
  <c r="H48"/>
  <c r="H23" i="3"/>
  <c r="H25"/>
  <c r="G25"/>
  <c r="G47"/>
  <c r="H23" i="13"/>
  <c r="H25"/>
  <c r="G25"/>
  <c r="H24" i="12"/>
  <c r="H25"/>
  <c r="G25"/>
  <c r="H23" i="8"/>
  <c r="H25"/>
  <c r="G25"/>
  <c r="G47"/>
  <c r="H32" i="14"/>
  <c r="H48"/>
  <c r="H47"/>
  <c r="H23" i="2"/>
  <c r="H25"/>
  <c r="G25"/>
  <c r="G47"/>
  <c r="F47"/>
  <c r="H48"/>
  <c r="H32"/>
  <c r="H47"/>
  <c r="F25" i="4"/>
  <c r="F47"/>
  <c r="G23"/>
  <c r="H47" i="11"/>
  <c r="H23" i="5"/>
  <c r="H25"/>
  <c r="H47"/>
  <c r="G25"/>
  <c r="G47"/>
  <c r="G23" i="10"/>
  <c r="F25"/>
  <c r="F47"/>
  <c r="G23" i="1"/>
  <c r="F25"/>
  <c r="F47"/>
  <c r="M48"/>
  <c r="H48" i="8"/>
  <c r="H32"/>
  <c r="H47"/>
  <c r="H47" i="7"/>
  <c r="H48" i="13"/>
  <c r="H32"/>
  <c r="H47"/>
  <c r="J48" i="1"/>
  <c r="K48"/>
  <c r="G31" i="12"/>
  <c r="F48"/>
  <c r="F32"/>
  <c r="F47"/>
  <c r="H32" i="3"/>
  <c r="H47"/>
  <c r="H48"/>
  <c r="H32" i="10"/>
  <c r="H48"/>
  <c r="G32" i="13"/>
  <c r="G47"/>
  <c r="H32" i="1"/>
  <c r="H48"/>
  <c r="G25" i="4"/>
  <c r="G47"/>
  <c r="H23"/>
  <c r="H25"/>
  <c r="H47"/>
  <c r="H31" i="12"/>
  <c r="G32"/>
  <c r="G47"/>
  <c r="G48"/>
  <c r="H23" i="1"/>
  <c r="H25"/>
  <c r="H47"/>
  <c r="G25"/>
  <c r="G47"/>
  <c r="H23" i="10"/>
  <c r="H25"/>
  <c r="H47"/>
  <c r="G25"/>
  <c r="G47"/>
  <c r="H48" i="12"/>
  <c r="H32"/>
  <c r="H47"/>
  <c r="J48" i="6"/>
</calcChain>
</file>

<file path=xl/comments1.xml><?xml version="1.0" encoding="utf-8"?>
<comments xmlns="http://schemas.openxmlformats.org/spreadsheetml/2006/main">
  <authors>
    <author>APT</author>
  </authors>
  <commentList>
    <comment ref="G6" authorId="0">
      <text>
        <r>
          <rPr>
            <b/>
            <sz val="9"/>
            <color indexed="81"/>
            <rFont val="Tahoma"/>
            <family val="2"/>
          </rPr>
          <t>APT:</t>
        </r>
        <r>
          <rPr>
            <sz val="9"/>
            <color indexed="81"/>
            <rFont val="Tahoma"/>
            <family val="2"/>
          </rPr>
          <t xml:space="preserve">
Curs data de 08.12.2016</t>
        </r>
      </text>
    </comment>
    <comment ref="E29" authorId="0">
      <text>
        <r>
          <rPr>
            <b/>
            <sz val="9"/>
            <color indexed="81"/>
            <rFont val="Tahoma"/>
            <charset val="1"/>
          </rPr>
          <t>APT:</t>
        </r>
        <r>
          <rPr>
            <sz val="9"/>
            <color indexed="81"/>
            <rFont val="Tahoma"/>
            <charset val="1"/>
          </rPr>
          <t xml:space="preserve">
Indexare + 20%  retineri 
avans</t>
        </r>
      </text>
    </comment>
    <comment ref="J49" authorId="0">
      <text>
        <r>
          <rPr>
            <b/>
            <sz val="9"/>
            <color indexed="81"/>
            <rFont val="Tahoma"/>
            <charset val="1"/>
          </rPr>
          <t>APT:</t>
        </r>
        <r>
          <rPr>
            <sz val="9"/>
            <color indexed="81"/>
            <rFont val="Tahoma"/>
            <charset val="1"/>
          </rPr>
          <t xml:space="preserve">
retineri Avans</t>
        </r>
      </text>
    </comment>
  </commentList>
</comments>
</file>

<file path=xl/sharedStrings.xml><?xml version="1.0" encoding="utf-8"?>
<sst xmlns="http://schemas.openxmlformats.org/spreadsheetml/2006/main" count="2068" uniqueCount="104">
  <si>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Str.Podetului"
</t>
    </r>
  </si>
  <si>
    <t>curs leu/€</t>
  </si>
  <si>
    <t>Nr. Crt.</t>
  </si>
  <si>
    <t>DENUMIREA CAPITOLELOR DE CHELTUIELI</t>
  </si>
  <si>
    <t>Valoare (fără TVA)</t>
  </si>
  <si>
    <t>TVA</t>
  </si>
  <si>
    <t>Valoare (inclusiv TVA)</t>
  </si>
  <si>
    <t>MII RON</t>
  </si>
  <si>
    <t>mii euro</t>
  </si>
  <si>
    <t>CAPITOLUL 1</t>
  </si>
  <si>
    <t>CHELTUIELI PENTRU OBŢINEREA ŞI AMENAJAREA TERENULUI</t>
  </si>
  <si>
    <t>1.1.</t>
  </si>
  <si>
    <t>Obţinerea terenului</t>
  </si>
  <si>
    <t>1.2.</t>
  </si>
  <si>
    <t>Amenajarea terenului</t>
  </si>
  <si>
    <t>1.3.</t>
  </si>
  <si>
    <t>Amenajări pentru protecţia mediului</t>
  </si>
  <si>
    <t>Subtotal capitolul 1</t>
  </si>
  <si>
    <t>CAPITOLUL 2</t>
  </si>
  <si>
    <t>CHELTUIELI PENTRU REALIZAREA INFRASTRUCTURII OBIECTIVULUI</t>
  </si>
  <si>
    <t>Cheltuieli pentru asigurarea utilităţilor necesare obiectivului</t>
  </si>
  <si>
    <t>Subtotal capitolul 2</t>
  </si>
  <si>
    <t>CAPITOLUL 3</t>
  </si>
  <si>
    <t>CHELTUIELI PENTRU PROIECTARE ŞI ASISTENŢĂ TEHNICĂ</t>
  </si>
  <si>
    <t>3.1.</t>
  </si>
  <si>
    <t>Studii de teren</t>
  </si>
  <si>
    <t>Proiectare</t>
  </si>
  <si>
    <t>Subtotal capitolul 3</t>
  </si>
  <si>
    <t>CAPITOLUL 4</t>
  </si>
  <si>
    <t>CHELTUIELI PENTRU INVESTIŢIA DE BAZĂ</t>
  </si>
  <si>
    <t>Constructii si instalatii</t>
  </si>
  <si>
    <t>Reabilitare alei carosabile si locuri de parcare</t>
  </si>
  <si>
    <t>Canalizari pluviale</t>
  </si>
  <si>
    <t>Iluminat Public</t>
  </si>
  <si>
    <t>Subtotal capitolul 4</t>
  </si>
  <si>
    <t>CAPITOLUL 5</t>
  </si>
  <si>
    <t>ALTE CHELTUIELI</t>
  </si>
  <si>
    <t>5.1.</t>
  </si>
  <si>
    <t>Organizare de şantier.</t>
  </si>
  <si>
    <t>5.1.1.</t>
  </si>
  <si>
    <t xml:space="preserve">Organizare de santier pt.Lucrări de construcţii </t>
  </si>
  <si>
    <t>5.1.2.</t>
  </si>
  <si>
    <t xml:space="preserve">Cheltuieli conexe organizării şantierului          </t>
  </si>
  <si>
    <t>5.2.1.</t>
  </si>
  <si>
    <t>Comisioane cote, taxe</t>
  </si>
  <si>
    <t>5.2.2.</t>
  </si>
  <si>
    <t>Costul creditului</t>
  </si>
  <si>
    <t>5.3.</t>
  </si>
  <si>
    <t xml:space="preserve">Cheltuieli diverse şi neprevăzute  </t>
  </si>
  <si>
    <t>Subtotal capitolul 5</t>
  </si>
  <si>
    <t>CAPITOLUL 6</t>
  </si>
  <si>
    <t>CHELTUIELI PT.DAREA ÎN EXPLOATARE</t>
  </si>
  <si>
    <t>Instruire personal</t>
  </si>
  <si>
    <t>Probe</t>
  </si>
  <si>
    <t>Subtotal capitolul 6</t>
  </si>
  <si>
    <t>TOTAL GENERAL</t>
  </si>
  <si>
    <t>Din care: C+M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</si>
  <si>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Strada Stadionului"
</t>
    </r>
  </si>
  <si>
    <t>.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</si>
  <si>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Str.Primaverii"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</si>
  <si>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Romulus Cioflec" 
</t>
    </r>
  </si>
  <si>
    <t>3.06.2015</t>
  </si>
  <si>
    <t>3.2.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</si>
  <si>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Str.N.Colan"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</si>
  <si>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Str.Oltului(Obiectiv ce cuprinde: Str. Oltului, Intrare oltului12 si Gyarfas Jeno)"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</si>
  <si>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Str.Bisericii"
</t>
    </r>
  </si>
  <si>
    <t xml:space="preserve">Proiectare 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</si>
  <si>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Str.Vasile Goldis"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</si>
  <si>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Podului" 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</si>
  <si>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Str.Szekely Gyorgy"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</si>
  <si>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Strada Ciucului"
</t>
    </r>
  </si>
  <si>
    <t xml:space="preserve">Cheltuieli conexe organizării şantierului  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</si>
  <si>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Strada Caminului"
</t>
    </r>
  </si>
  <si>
    <t>Studii de teren, proiectare si engeneering</t>
  </si>
  <si>
    <t xml:space="preserve">Cheltuieli conexe organizării şantierului    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</si>
  <si>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Parcare Pescarilor"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</si>
  <si>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 REABILITARE Parcare Oltului 35"
</t>
    </r>
  </si>
  <si>
    <t xml:space="preserve">CHELTUIELI PENTRU PROIECTARE </t>
  </si>
  <si>
    <t xml:space="preserve">Cheltuieli conexe organizării şantierului      </t>
  </si>
  <si>
    <t>Total capitolul 6</t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</si>
  <si>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Grigore Balan"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</si>
  <si>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Castanilor"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</si>
  <si>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Nicolae Iorga"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</si>
  <si>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Cartier Oltului - iluminat"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</si>
  <si>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Korosi Csoma Sandor"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</si>
  <si>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Parcare Str. Libertatii"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</si>
  <si>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Parcare Str. Lacramioarei"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</si>
  <si>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Puskas Tivadar - iluminat"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</si>
  <si>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Narciselor - iluminat"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</si>
  <si>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Daliei- iluminat"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</si>
  <si>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1 Decembrie 1918"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</si>
  <si>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Parcare Str.  Nuferilor"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</si>
  <si>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David Ferencz - iluminat"
</t>
    </r>
  </si>
  <si>
    <r>
      <t xml:space="preserve">                  
</t>
    </r>
    <r>
      <rPr>
        <b/>
        <sz val="14"/>
        <rFont val="Arial"/>
        <family val="2"/>
      </rPr>
      <t>DEVIZ GENERAL ESTIMAT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Cartier Simeria - iluminat public"
</t>
    </r>
  </si>
  <si>
    <r>
      <t xml:space="preserve">                  
</t>
    </r>
    <r>
      <rPr>
        <b/>
        <sz val="14"/>
        <rFont val="Arial"/>
        <family val="2"/>
      </rPr>
      <t>DEVIZ GENERAL FINAL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Gabor Aron"
</t>
    </r>
  </si>
  <si>
    <t>Valoare contract</t>
  </si>
  <si>
    <r>
      <t xml:space="preserve">                  
</t>
    </r>
    <r>
      <rPr>
        <b/>
        <sz val="14"/>
        <rFont val="Arial"/>
        <family val="2"/>
      </rPr>
      <t xml:space="preserve">DEVIZ GENERAL 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Cinepei"
</t>
    </r>
  </si>
  <si>
    <r>
      <t xml:space="preserve">                  
</t>
    </r>
    <r>
      <rPr>
        <b/>
        <sz val="14"/>
        <rFont val="Arial"/>
        <family val="2"/>
      </rPr>
      <t xml:space="preserve">DEVIZ GENERAL 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Orko"
</t>
    </r>
  </si>
  <si>
    <r>
      <t xml:space="preserve">                  
</t>
    </r>
    <r>
      <rPr>
        <b/>
        <sz val="14"/>
        <rFont val="Arial"/>
        <family val="2"/>
      </rPr>
      <t>DEVIZ GENERAL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Bartalis Ferencz"
</t>
    </r>
  </si>
  <si>
    <r>
      <t xml:space="preserve">                  
</t>
    </r>
    <r>
      <rPr>
        <b/>
        <sz val="14"/>
        <rFont val="Arial"/>
        <family val="2"/>
      </rPr>
      <t xml:space="preserve">DEVIZ GENERAL 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Debren"
</t>
    </r>
  </si>
  <si>
    <r>
      <t xml:space="preserve">                  
</t>
    </r>
    <r>
      <rPr>
        <b/>
        <sz val="14"/>
        <rFont val="Arial"/>
        <family val="2"/>
      </rPr>
      <t>DEVIZ GENERAL</t>
    </r>
    <r>
      <rPr>
        <b/>
        <sz val="10"/>
        <rFont val="Arial"/>
        <family val="2"/>
      </rPr>
      <t xml:space="preserve">
Privind cheltuielile aferente  obiectivul de investiţie:                                                                                                                                                                                                              LUCRAREA "REABILITARE Str.  Orban Balasz"
</t>
    </r>
  </si>
  <si>
    <t>Factor de ajustare</t>
  </si>
  <si>
    <t>Avans 20% + Suma certificata indexata</t>
  </si>
  <si>
    <t>Suma certificata indexata</t>
  </si>
</sst>
</file>

<file path=xl/styles.xml><?xml version="1.0" encoding="utf-8"?>
<styleSheet xmlns="http://schemas.openxmlformats.org/spreadsheetml/2006/main">
  <numFmts count="7">
    <numFmt numFmtId="164" formatCode="_-* #,##0.00\ _l_e_i_-;\-* #,##0.00\ _l_e_i_-;_-* &quot;-&quot;??\ _l_e_i_-;_-@_-"/>
    <numFmt numFmtId="165" formatCode="#,##0.00\ [$EUR];\-#,##0.00\ [$EUR]"/>
    <numFmt numFmtId="166" formatCode="#,##0.000"/>
    <numFmt numFmtId="167" formatCode="#,##0.0000"/>
    <numFmt numFmtId="168" formatCode="0.000"/>
    <numFmt numFmtId="169" formatCode="0.0000"/>
    <numFmt numFmtId="170" formatCode="#,##0.00000000"/>
  </numFmts>
  <fonts count="36">
    <font>
      <sz val="10"/>
      <name val="Arial"/>
      <charset val="238"/>
    </font>
    <font>
      <b/>
      <sz val="14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9"/>
      <name val="Calibri"/>
      <family val="2"/>
    </font>
    <font>
      <sz val="9"/>
      <name val="Arial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b/>
      <sz val="13"/>
      <color indexed="56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11" fillId="3" borderId="0" applyNumberFormat="0" applyBorder="0" applyAlignment="0" applyProtection="0"/>
    <xf numFmtId="0" fontId="4" fillId="20" borderId="1" applyNumberFormat="0" applyAlignment="0" applyProtection="0"/>
    <xf numFmtId="0" fontId="12" fillId="21" borderId="2" applyNumberFormat="0" applyAlignment="0" applyProtection="0"/>
    <xf numFmtId="164" fontId="2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5" fillId="0" borderId="3" applyNumberFormat="0" applyFill="0" applyAlignment="0" applyProtection="0"/>
    <xf numFmtId="0" fontId="13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24" fillId="0" borderId="0"/>
    <xf numFmtId="0" fontId="25" fillId="0" borderId="0"/>
    <xf numFmtId="0" fontId="24" fillId="0" borderId="0"/>
    <xf numFmtId="0" fontId="2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24" fillId="23" borderId="7" applyNumberFormat="0" applyFont="0" applyAlignment="0" applyProtection="0"/>
    <xf numFmtId="0" fontId="10" fillId="20" borderId="8" applyNumberFormat="0" applyAlignment="0" applyProtection="0"/>
    <xf numFmtId="9" fontId="2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8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10" xfId="0" applyFont="1" applyBorder="1" applyAlignment="1">
      <alignment horizontal="left" vertical="top" wrapText="1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0" fillId="0" borderId="0" xfId="28" applyNumberFormat="1" applyFont="1" applyAlignment="1">
      <alignment horizontal="right"/>
    </xf>
    <xf numFmtId="4" fontId="0" fillId="0" borderId="0" xfId="0" applyNumberFormat="1" applyFont="1"/>
    <xf numFmtId="166" fontId="2" fillId="0" borderId="10" xfId="0" applyNumberFormat="1" applyFont="1" applyBorder="1" applyAlignment="1">
      <alignment horizontal="right" wrapText="1"/>
    </xf>
    <xf numFmtId="0" fontId="0" fillId="0" borderId="0" xfId="0" applyFont="1"/>
    <xf numFmtId="0" fontId="2" fillId="0" borderId="0" xfId="0" applyFont="1"/>
    <xf numFmtId="4" fontId="0" fillId="0" borderId="1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4" fontId="0" fillId="0" borderId="10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4" fontId="0" fillId="0" borderId="0" xfId="0" applyNumberFormat="1" applyFont="1" applyBorder="1" applyAlignment="1">
      <alignment horizontal="right" vertical="top" wrapText="1"/>
    </xf>
    <xf numFmtId="49" fontId="0" fillId="0" borderId="0" xfId="0" applyNumberFormat="1" applyFont="1" applyBorder="1" applyAlignment="1">
      <alignment horizontal="justify" vertical="top" wrapText="1"/>
    </xf>
    <xf numFmtId="4" fontId="0" fillId="0" borderId="16" xfId="0" applyNumberFormat="1" applyFont="1" applyBorder="1" applyAlignment="1">
      <alignment horizontal="right" vertical="top" wrapText="1"/>
    </xf>
    <xf numFmtId="167" fontId="0" fillId="0" borderId="17" xfId="0" applyNumberFormat="1" applyFont="1" applyBorder="1" applyAlignment="1">
      <alignment horizontal="right" vertical="top" wrapText="1"/>
    </xf>
    <xf numFmtId="166" fontId="0" fillId="0" borderId="12" xfId="0" applyNumberFormat="1" applyFont="1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0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wrapText="1"/>
    </xf>
    <xf numFmtId="166" fontId="0" fillId="0" borderId="12" xfId="0" applyNumberFormat="1" applyFont="1" applyBorder="1" applyAlignment="1">
      <alignment horizontal="center" wrapText="1"/>
    </xf>
    <xf numFmtId="166" fontId="0" fillId="0" borderId="12" xfId="0" applyNumberFormat="1" applyBorder="1" applyAlignment="1">
      <alignment horizontal="center"/>
    </xf>
    <xf numFmtId="166" fontId="2" fillId="0" borderId="10" xfId="0" applyNumberFormat="1" applyFont="1" applyBorder="1" applyAlignment="1">
      <alignment horizontal="center" vertical="center"/>
    </xf>
    <xf numFmtId="10" fontId="0" fillId="0" borderId="0" xfId="53" applyNumberFormat="1" applyFont="1"/>
    <xf numFmtId="0" fontId="23" fillId="0" borderId="0" xfId="0" applyFont="1"/>
    <xf numFmtId="10" fontId="23" fillId="0" borderId="0" xfId="53" applyNumberFormat="1" applyFont="1"/>
    <xf numFmtId="0" fontId="0" fillId="0" borderId="18" xfId="0" applyBorder="1" applyAlignment="1">
      <alignment horizontal="center" vertical="center"/>
    </xf>
    <xf numFmtId="0" fontId="2" fillId="0" borderId="14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10" fontId="0" fillId="0" borderId="0" xfId="53" applyNumberFormat="1" applyFont="1" applyAlignment="1">
      <alignment vertical="center"/>
    </xf>
    <xf numFmtId="4" fontId="2" fillId="0" borderId="0" xfId="0" applyNumberFormat="1" applyFont="1"/>
    <xf numFmtId="0" fontId="22" fillId="0" borderId="21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 wrapText="1"/>
    </xf>
    <xf numFmtId="168" fontId="22" fillId="0" borderId="10" xfId="0" applyNumberFormat="1" applyFont="1" applyBorder="1" applyAlignment="1">
      <alignment horizontal="center" vertical="center"/>
    </xf>
    <xf numFmtId="168" fontId="0" fillId="0" borderId="12" xfId="0" applyNumberFormat="1" applyFont="1" applyBorder="1" applyAlignment="1">
      <alignment horizontal="center" wrapText="1"/>
    </xf>
    <xf numFmtId="169" fontId="0" fillId="0" borderId="0" xfId="53" applyNumberFormat="1" applyFont="1"/>
    <xf numFmtId="167" fontId="0" fillId="0" borderId="0" xfId="53" applyNumberFormat="1" applyFont="1"/>
    <xf numFmtId="169" fontId="23" fillId="0" borderId="0" xfId="53" applyNumberFormat="1" applyFont="1"/>
    <xf numFmtId="168" fontId="2" fillId="0" borderId="10" xfId="0" applyNumberFormat="1" applyFont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0" fontId="0" fillId="0" borderId="18" xfId="0" applyFont="1" applyBorder="1" applyAlignment="1">
      <alignment horizontal="left" vertical="top" wrapText="1"/>
    </xf>
    <xf numFmtId="168" fontId="0" fillId="0" borderId="12" xfId="0" applyNumberFormat="1" applyFont="1" applyBorder="1" applyAlignment="1">
      <alignment horizontal="center" vertical="center" wrapText="1"/>
    </xf>
    <xf numFmtId="0" fontId="25" fillId="0" borderId="0" xfId="39" applyAlignment="1">
      <alignment horizontal="center" vertical="center"/>
    </xf>
    <xf numFmtId="4" fontId="25" fillId="0" borderId="0" xfId="39" applyNumberFormat="1"/>
    <xf numFmtId="0" fontId="25" fillId="0" borderId="0" xfId="39"/>
    <xf numFmtId="4" fontId="25" fillId="0" borderId="0" xfId="39" applyNumberFormat="1" applyFont="1" applyBorder="1" applyAlignment="1">
      <alignment horizontal="right" vertical="top" wrapText="1"/>
    </xf>
    <xf numFmtId="49" fontId="25" fillId="0" borderId="0" xfId="39" applyNumberFormat="1" applyFont="1" applyBorder="1" applyAlignment="1">
      <alignment horizontal="justify" vertical="top" wrapText="1"/>
    </xf>
    <xf numFmtId="4" fontId="25" fillId="0" borderId="16" xfId="39" applyNumberFormat="1" applyFont="1" applyBorder="1" applyAlignment="1">
      <alignment horizontal="right" vertical="top" wrapText="1"/>
    </xf>
    <xf numFmtId="167" fontId="25" fillId="0" borderId="17" xfId="39" applyNumberFormat="1" applyFont="1" applyBorder="1" applyAlignment="1">
      <alignment horizontal="right" vertical="top" wrapText="1"/>
    </xf>
    <xf numFmtId="4" fontId="25" fillId="0" borderId="0" xfId="39" applyNumberFormat="1" applyAlignment="1">
      <alignment horizontal="right"/>
    </xf>
    <xf numFmtId="4" fontId="25" fillId="0" borderId="11" xfId="39" applyNumberFormat="1" applyFont="1" applyBorder="1" applyAlignment="1">
      <alignment horizontal="center"/>
    </xf>
    <xf numFmtId="0" fontId="25" fillId="0" borderId="13" xfId="39" applyBorder="1" applyAlignment="1">
      <alignment horizontal="center" vertical="center"/>
    </xf>
    <xf numFmtId="0" fontId="25" fillId="0" borderId="14" xfId="39" applyBorder="1" applyAlignment="1">
      <alignment horizontal="center" vertical="center"/>
    </xf>
    <xf numFmtId="0" fontId="25" fillId="0" borderId="12" xfId="39" applyBorder="1" applyAlignment="1">
      <alignment horizontal="center" vertical="center"/>
    </xf>
    <xf numFmtId="0" fontId="25" fillId="0" borderId="12" xfId="39" applyFont="1" applyBorder="1" applyAlignment="1">
      <alignment horizontal="left" vertical="top" wrapText="1"/>
    </xf>
    <xf numFmtId="166" fontId="25" fillId="0" borderId="12" xfId="39" applyNumberFormat="1" applyFont="1" applyBorder="1" applyAlignment="1">
      <alignment horizontal="center" vertical="center" wrapText="1"/>
    </xf>
    <xf numFmtId="166" fontId="25" fillId="0" borderId="12" xfId="39" applyNumberFormat="1" applyBorder="1" applyAlignment="1">
      <alignment horizontal="center" vertical="center"/>
    </xf>
    <xf numFmtId="0" fontId="25" fillId="0" borderId="10" xfId="39" applyBorder="1" applyAlignment="1">
      <alignment horizontal="center" vertical="center"/>
    </xf>
    <xf numFmtId="0" fontId="25" fillId="0" borderId="10" xfId="39" applyFont="1" applyBorder="1" applyAlignment="1">
      <alignment horizontal="left" vertical="top" wrapText="1"/>
    </xf>
    <xf numFmtId="166" fontId="25" fillId="0" borderId="10" xfId="39" applyNumberFormat="1" applyFont="1" applyBorder="1" applyAlignment="1">
      <alignment horizontal="center" vertical="center" wrapText="1"/>
    </xf>
    <xf numFmtId="0" fontId="25" fillId="0" borderId="11" xfId="39" applyBorder="1" applyAlignment="1">
      <alignment horizontal="center" vertical="center"/>
    </xf>
    <xf numFmtId="0" fontId="26" fillId="0" borderId="11" xfId="39" applyFont="1" applyBorder="1" applyAlignment="1">
      <alignment horizontal="center" vertical="center" wrapText="1"/>
    </xf>
    <xf numFmtId="166" fontId="26" fillId="0" borderId="11" xfId="39" applyNumberFormat="1" applyFont="1" applyBorder="1" applyAlignment="1">
      <alignment horizontal="center" vertical="center" wrapText="1"/>
    </xf>
    <xf numFmtId="0" fontId="25" fillId="0" borderId="18" xfId="39" applyBorder="1" applyAlignment="1">
      <alignment horizontal="center" vertical="center"/>
    </xf>
    <xf numFmtId="0" fontId="25" fillId="0" borderId="18" xfId="39" applyFont="1" applyBorder="1" applyAlignment="1">
      <alignment horizontal="left" vertical="top" wrapText="1"/>
    </xf>
    <xf numFmtId="168" fontId="26" fillId="0" borderId="11" xfId="39" applyNumberFormat="1" applyFont="1" applyBorder="1" applyAlignment="1">
      <alignment horizontal="center" vertical="center" wrapText="1"/>
    </xf>
    <xf numFmtId="0" fontId="26" fillId="0" borderId="14" xfId="39" applyFont="1" applyBorder="1" applyAlignment="1">
      <alignment horizontal="center" vertical="top" wrapText="1"/>
    </xf>
    <xf numFmtId="0" fontId="26" fillId="0" borderId="19" xfId="39" applyFont="1" applyBorder="1" applyAlignment="1">
      <alignment horizontal="center" vertical="top" wrapText="1"/>
    </xf>
    <xf numFmtId="0" fontId="26" fillId="0" borderId="20" xfId="39" applyFont="1" applyBorder="1" applyAlignment="1">
      <alignment horizontal="center" vertical="top" wrapText="1"/>
    </xf>
    <xf numFmtId="0" fontId="27" fillId="0" borderId="10" xfId="39" applyFont="1" applyBorder="1" applyAlignment="1">
      <alignment horizontal="center" vertical="center" wrapText="1"/>
    </xf>
    <xf numFmtId="0" fontId="26" fillId="0" borderId="10" xfId="39" applyFont="1" applyBorder="1" applyAlignment="1">
      <alignment horizontal="center" vertical="top" wrapText="1"/>
    </xf>
    <xf numFmtId="14" fontId="25" fillId="0" borderId="10" xfId="39" applyNumberFormat="1" applyFont="1" applyBorder="1" applyAlignment="1">
      <alignment horizontal="center" vertical="center" wrapText="1"/>
    </xf>
    <xf numFmtId="166" fontId="26" fillId="0" borderId="10" xfId="39" applyNumberFormat="1" applyFont="1" applyBorder="1" applyAlignment="1">
      <alignment horizontal="right" wrapText="1"/>
    </xf>
    <xf numFmtId="14" fontId="25" fillId="0" borderId="10" xfId="39" applyNumberFormat="1" applyFont="1" applyBorder="1" applyAlignment="1">
      <alignment horizontal="center" vertical="center"/>
    </xf>
    <xf numFmtId="0" fontId="25" fillId="0" borderId="10" xfId="39" applyFont="1" applyBorder="1" applyAlignment="1">
      <alignment horizontal="left" vertical="top"/>
    </xf>
    <xf numFmtId="168" fontId="25" fillId="0" borderId="12" xfId="39" applyNumberFormat="1" applyFont="1" applyBorder="1" applyAlignment="1">
      <alignment horizontal="center" wrapText="1"/>
    </xf>
    <xf numFmtId="166" fontId="25" fillId="0" borderId="12" xfId="39" applyNumberFormat="1" applyFont="1" applyBorder="1" applyAlignment="1">
      <alignment horizontal="center" wrapText="1"/>
    </xf>
    <xf numFmtId="166" fontId="25" fillId="0" borderId="12" xfId="39" applyNumberFormat="1" applyBorder="1" applyAlignment="1">
      <alignment horizontal="center"/>
    </xf>
    <xf numFmtId="0" fontId="25" fillId="0" borderId="10" xfId="39" applyFont="1" applyBorder="1" applyAlignment="1">
      <alignment horizontal="center" vertical="center"/>
    </xf>
    <xf numFmtId="0" fontId="25" fillId="0" borderId="10" xfId="39" applyFont="1" applyBorder="1" applyAlignment="1">
      <alignment horizontal="center" vertical="center" wrapText="1"/>
    </xf>
    <xf numFmtId="0" fontId="25" fillId="0" borderId="11" xfId="39" applyFont="1" applyBorder="1" applyAlignment="1">
      <alignment horizontal="center" vertical="center" wrapText="1"/>
    </xf>
    <xf numFmtId="0" fontId="26" fillId="0" borderId="11" xfId="39" applyFont="1" applyBorder="1" applyAlignment="1">
      <alignment horizontal="center" vertical="top" wrapText="1"/>
    </xf>
    <xf numFmtId="166" fontId="26" fillId="0" borderId="11" xfId="39" applyNumberFormat="1" applyFont="1" applyBorder="1" applyAlignment="1">
      <alignment horizontal="center" wrapText="1"/>
    </xf>
    <xf numFmtId="0" fontId="26" fillId="0" borderId="15" xfId="39" applyFont="1" applyBorder="1" applyAlignment="1">
      <alignment horizontal="center" vertical="top" wrapText="1"/>
    </xf>
    <xf numFmtId="166" fontId="26" fillId="0" borderId="10" xfId="39" applyNumberFormat="1" applyFont="1" applyBorder="1" applyAlignment="1">
      <alignment horizontal="center" vertical="center"/>
    </xf>
    <xf numFmtId="0" fontId="28" fillId="0" borderId="10" xfId="39" applyFont="1" applyBorder="1" applyAlignment="1">
      <alignment horizontal="center" vertical="center"/>
    </xf>
    <xf numFmtId="0" fontId="29" fillId="0" borderId="21" xfId="39" applyFont="1" applyBorder="1" applyAlignment="1">
      <alignment horizontal="left" vertical="top" wrapText="1"/>
    </xf>
    <xf numFmtId="168" fontId="29" fillId="0" borderId="10" xfId="39" applyNumberFormat="1" applyFont="1" applyBorder="1" applyAlignment="1">
      <alignment horizontal="center" vertical="center"/>
    </xf>
    <xf numFmtId="0" fontId="25" fillId="0" borderId="12" xfId="39" applyFont="1" applyBorder="1" applyAlignment="1">
      <alignment horizontal="left" vertical="top"/>
    </xf>
    <xf numFmtId="168" fontId="26" fillId="0" borderId="10" xfId="39" applyNumberFormat="1" applyFont="1" applyBorder="1" applyAlignment="1">
      <alignment horizontal="center" vertical="center" wrapText="1"/>
    </xf>
    <xf numFmtId="0" fontId="0" fillId="0" borderId="0" xfId="0" applyBorder="1"/>
    <xf numFmtId="165" fontId="22" fillId="24" borderId="0" xfId="47" applyNumberFormat="1" applyFont="1" applyFill="1" applyBorder="1" applyAlignment="1" applyProtection="1"/>
    <xf numFmtId="165" fontId="22" fillId="24" borderId="0" xfId="50" applyNumberFormat="1" applyFont="1" applyFill="1" applyBorder="1" applyAlignment="1" applyProtection="1"/>
    <xf numFmtId="165" fontId="22" fillId="24" borderId="0" xfId="48" applyNumberFormat="1" applyFont="1" applyFill="1" applyBorder="1" applyAlignment="1" applyProtection="1"/>
    <xf numFmtId="4" fontId="22" fillId="22" borderId="0" xfId="49" applyNumberFormat="1" applyFont="1" applyFill="1" applyBorder="1" applyAlignment="1">
      <alignment horizontal="right" vertical="center" wrapText="1"/>
    </xf>
    <xf numFmtId="2" fontId="22" fillId="24" borderId="0" xfId="43" applyNumberFormat="1" applyFont="1" applyFill="1" applyBorder="1" applyAlignment="1" applyProtection="1"/>
    <xf numFmtId="2" fontId="22" fillId="0" borderId="0" xfId="44" applyNumberFormat="1" applyFont="1" applyBorder="1" applyAlignment="1" applyProtection="1"/>
    <xf numFmtId="2" fontId="22" fillId="24" borderId="0" xfId="45" applyNumberFormat="1" applyFont="1" applyFill="1" applyBorder="1" applyAlignment="1" applyProtection="1"/>
    <xf numFmtId="2" fontId="0" fillId="0" borderId="0" xfId="0" applyNumberFormat="1" applyBorder="1"/>
    <xf numFmtId="165" fontId="22" fillId="24" borderId="0" xfId="42" applyNumberFormat="1" applyFont="1" applyFill="1" applyBorder="1" applyAlignment="1" applyProtection="1"/>
    <xf numFmtId="165" fontId="22" fillId="0" borderId="0" xfId="46" applyNumberFormat="1" applyFont="1" applyBorder="1" applyAlignment="1" applyProtection="1"/>
    <xf numFmtId="168" fontId="0" fillId="0" borderId="18" xfId="0" applyNumberFormat="1" applyFont="1" applyBorder="1" applyAlignment="1">
      <alignment horizontal="center" vertical="center" wrapText="1"/>
    </xf>
    <xf numFmtId="168" fontId="25" fillId="0" borderId="12" xfId="39" applyNumberFormat="1" applyFont="1" applyBorder="1" applyAlignment="1">
      <alignment horizontal="center" vertical="center" wrapText="1"/>
    </xf>
    <xf numFmtId="168" fontId="25" fillId="0" borderId="12" xfId="39" applyNumberFormat="1" applyBorder="1" applyAlignment="1">
      <alignment horizontal="center" vertical="center"/>
    </xf>
    <xf numFmtId="168" fontId="25" fillId="0" borderId="18" xfId="39" applyNumberFormat="1" applyFont="1" applyBorder="1" applyAlignment="1">
      <alignment horizontal="center" vertical="center" wrapText="1"/>
    </xf>
    <xf numFmtId="168" fontId="23" fillId="0" borderId="10" xfId="46" applyNumberFormat="1" applyFont="1" applyBorder="1" applyAlignment="1" applyProtection="1">
      <alignment horizontal="center"/>
    </xf>
    <xf numFmtId="168" fontId="2" fillId="0" borderId="11" xfId="28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7" fontId="30" fillId="0" borderId="17" xfId="39" applyNumberFormat="1" applyFont="1" applyBorder="1" applyAlignment="1">
      <alignment horizontal="right" vertical="top" wrapText="1"/>
    </xf>
    <xf numFmtId="0" fontId="24" fillId="0" borderId="0" xfId="0" applyFont="1" applyBorder="1"/>
    <xf numFmtId="164" fontId="22" fillId="0" borderId="10" xfId="28" applyFont="1" applyBorder="1" applyAlignment="1">
      <alignment horizontal="center" vertical="center"/>
    </xf>
    <xf numFmtId="168" fontId="25" fillId="0" borderId="0" xfId="39" applyNumberFormat="1"/>
    <xf numFmtId="168" fontId="29" fillId="0" borderId="11" xfId="39" applyNumberFormat="1" applyFont="1" applyBorder="1" applyAlignment="1">
      <alignment horizontal="center" vertical="center"/>
    </xf>
    <xf numFmtId="0" fontId="25" fillId="0" borderId="10" xfId="39" applyBorder="1"/>
    <xf numFmtId="170" fontId="22" fillId="0" borderId="10" xfId="40" applyNumberFormat="1" applyFont="1" applyFill="1" applyBorder="1" applyAlignment="1">
      <alignment horizontal="center" vertical="center"/>
    </xf>
    <xf numFmtId="1" fontId="29" fillId="0" borderId="10" xfId="39" applyNumberFormat="1" applyFont="1" applyBorder="1" applyAlignment="1">
      <alignment horizontal="center" vertical="center"/>
    </xf>
    <xf numFmtId="0" fontId="33" fillId="0" borderId="0" xfId="40" applyFont="1"/>
    <xf numFmtId="0" fontId="22" fillId="0" borderId="10" xfId="39" applyFont="1" applyBorder="1" applyAlignment="1">
      <alignment horizontal="center" vertical="center"/>
    </xf>
    <xf numFmtId="3" fontId="22" fillId="0" borderId="10" xfId="39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" fontId="0" fillId="0" borderId="11" xfId="0" applyNumberFormat="1" applyFon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21" fillId="0" borderId="15" xfId="0" applyFont="1" applyBorder="1" applyAlignment="1">
      <alignment horizontal="center" vertical="top" wrapText="1"/>
    </xf>
    <xf numFmtId="0" fontId="21" fillId="0" borderId="24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21" fillId="0" borderId="22" xfId="0" applyFont="1" applyBorder="1" applyAlignment="1">
      <alignment horizontal="center" vertical="top" wrapText="1"/>
    </xf>
    <xf numFmtId="0" fontId="21" fillId="0" borderId="23" xfId="0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/>
    <xf numFmtId="0" fontId="0" fillId="0" borderId="1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/>
    <xf numFmtId="0" fontId="0" fillId="0" borderId="14" xfId="0" applyBorder="1" applyAlignment="1"/>
    <xf numFmtId="0" fontId="0" fillId="0" borderId="20" xfId="0" applyBorder="1" applyAlignment="1"/>
    <xf numFmtId="0" fontId="26" fillId="0" borderId="15" xfId="39" applyFont="1" applyBorder="1" applyAlignment="1">
      <alignment horizontal="center" vertical="top" wrapText="1"/>
    </xf>
    <xf numFmtId="0" fontId="26" fillId="0" borderId="24" xfId="39" applyFont="1" applyBorder="1" applyAlignment="1">
      <alignment horizontal="center" vertical="top" wrapText="1"/>
    </xf>
    <xf numFmtId="0" fontId="26" fillId="0" borderId="21" xfId="39" applyFont="1" applyBorder="1" applyAlignment="1">
      <alignment horizontal="center" vertical="top" wrapText="1"/>
    </xf>
    <xf numFmtId="0" fontId="27" fillId="0" borderId="13" xfId="39" applyFont="1" applyBorder="1" applyAlignment="1">
      <alignment horizontal="center" vertical="top" wrapText="1"/>
    </xf>
    <xf numFmtId="0" fontId="27" fillId="0" borderId="22" xfId="39" applyFont="1" applyBorder="1" applyAlignment="1">
      <alignment horizontal="center" vertical="top" wrapText="1"/>
    </xf>
    <xf numFmtId="0" fontId="27" fillId="0" borderId="23" xfId="39" applyFont="1" applyBorder="1" applyAlignment="1">
      <alignment horizontal="center" vertical="top" wrapText="1"/>
    </xf>
    <xf numFmtId="0" fontId="26" fillId="0" borderId="0" xfId="39" applyFont="1" applyAlignment="1">
      <alignment horizontal="center" vertical="center" wrapText="1"/>
    </xf>
    <xf numFmtId="0" fontId="26" fillId="0" borderId="0" xfId="39" applyFont="1" applyAlignment="1"/>
    <xf numFmtId="0" fontId="25" fillId="0" borderId="0" xfId="39" applyFont="1" applyAlignment="1">
      <alignment horizontal="left"/>
    </xf>
    <xf numFmtId="0" fontId="25" fillId="0" borderId="0" xfId="39" applyAlignment="1">
      <alignment horizontal="left"/>
    </xf>
    <xf numFmtId="49" fontId="25" fillId="0" borderId="11" xfId="39" applyNumberFormat="1" applyBorder="1" applyAlignment="1">
      <alignment horizontal="center" vertical="center" wrapText="1"/>
    </xf>
    <xf numFmtId="49" fontId="25" fillId="0" borderId="18" xfId="39" applyNumberFormat="1" applyBorder="1" applyAlignment="1">
      <alignment horizontal="center" vertical="center" wrapText="1"/>
    </xf>
    <xf numFmtId="0" fontId="25" fillId="0" borderId="11" xfId="39" applyBorder="1" applyAlignment="1">
      <alignment horizontal="center" vertical="center"/>
    </xf>
    <xf numFmtId="0" fontId="25" fillId="0" borderId="18" xfId="39" applyBorder="1" applyAlignment="1">
      <alignment horizontal="center" vertical="center"/>
    </xf>
    <xf numFmtId="0" fontId="25" fillId="0" borderId="13" xfId="39" applyFont="1" applyBorder="1" applyAlignment="1">
      <alignment horizontal="center"/>
    </xf>
    <xf numFmtId="0" fontId="25" fillId="0" borderId="23" xfId="39" applyBorder="1" applyAlignment="1">
      <alignment horizontal="center"/>
    </xf>
    <xf numFmtId="0" fontId="25" fillId="0" borderId="14" xfId="39" applyBorder="1" applyAlignment="1">
      <alignment horizontal="center"/>
    </xf>
    <xf numFmtId="0" fontId="25" fillId="0" borderId="20" xfId="39" applyBorder="1" applyAlignment="1">
      <alignment horizontal="center"/>
    </xf>
    <xf numFmtId="4" fontId="25" fillId="0" borderId="11" xfId="39" applyNumberFormat="1" applyFont="1" applyBorder="1" applyAlignment="1">
      <alignment horizontal="center"/>
    </xf>
    <xf numFmtId="4" fontId="25" fillId="0" borderId="12" xfId="39" applyNumberFormat="1" applyBorder="1" applyAlignment="1">
      <alignment horizontal="center"/>
    </xf>
    <xf numFmtId="0" fontId="25" fillId="0" borderId="23" xfId="39" applyBorder="1" applyAlignment="1"/>
    <xf numFmtId="0" fontId="25" fillId="0" borderId="14" xfId="39" applyBorder="1" applyAlignment="1"/>
    <xf numFmtId="0" fontId="25" fillId="0" borderId="20" xfId="39" applyBorder="1" applyAlignment="1"/>
    <xf numFmtId="0" fontId="26" fillId="0" borderId="14" xfId="39" applyFont="1" applyBorder="1" applyAlignment="1">
      <alignment horizontal="center" vertical="top" wrapText="1"/>
    </xf>
    <xf numFmtId="0" fontId="26" fillId="0" borderId="19" xfId="39" applyFont="1" applyBorder="1" applyAlignment="1">
      <alignment horizontal="center" vertical="top" wrapText="1"/>
    </xf>
    <xf numFmtId="0" fontId="26" fillId="0" borderId="20" xfId="39" applyFont="1" applyBorder="1" applyAlignment="1">
      <alignment horizontal="center" vertical="top" wrapText="1"/>
    </xf>
    <xf numFmtId="0" fontId="26" fillId="0" borderId="22" xfId="39" applyFont="1" applyBorder="1" applyAlignment="1">
      <alignment horizontal="center"/>
    </xf>
    <xf numFmtId="0" fontId="26" fillId="0" borderId="23" xfId="39" applyFont="1" applyBorder="1" applyAlignment="1">
      <alignment horizontal="center"/>
    </xf>
    <xf numFmtId="0" fontId="26" fillId="0" borderId="19" xfId="39" applyFont="1" applyBorder="1" applyAlignment="1">
      <alignment horizontal="center" wrapText="1"/>
    </xf>
    <xf numFmtId="0" fontId="26" fillId="0" borderId="20" xfId="39" applyFont="1" applyBorder="1" applyAlignment="1">
      <alignment horizontal="center" wrapText="1"/>
    </xf>
    <xf numFmtId="0" fontId="27" fillId="0" borderId="15" xfId="39" applyFont="1" applyBorder="1" applyAlignment="1">
      <alignment horizontal="center" vertical="top" wrapText="1"/>
    </xf>
    <xf numFmtId="0" fontId="27" fillId="0" borderId="24" xfId="39" applyFont="1" applyBorder="1" applyAlignment="1">
      <alignment horizontal="center" vertical="top" wrapText="1"/>
    </xf>
    <xf numFmtId="0" fontId="27" fillId="0" borderId="21" xfId="39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9" fillId="0" borderId="10" xfId="39" applyFont="1" applyBorder="1" applyAlignment="1">
      <alignment horizontal="center" vertical="top" wrapText="1"/>
    </xf>
    <xf numFmtId="0" fontId="22" fillId="0" borderId="10" xfId="39" applyFont="1" applyBorder="1" applyAlignment="1">
      <alignment horizontal="center" vertical="top" wrapText="1"/>
    </xf>
    <xf numFmtId="0" fontId="29" fillId="0" borderId="10" xfId="39" applyFont="1" applyBorder="1" applyAlignment="1">
      <alignment horizontal="center" vertical="center" wrapText="1"/>
    </xf>
    <xf numFmtId="0" fontId="22" fillId="0" borderId="10" xfId="39" applyFont="1" applyBorder="1" applyAlignment="1">
      <alignment horizontal="center" vertical="center" wrapText="1"/>
    </xf>
    <xf numFmtId="0" fontId="2" fillId="0" borderId="0" xfId="39" applyFont="1" applyAlignment="1">
      <alignment horizontal="center" vertical="center" wrapText="1"/>
    </xf>
  </cellXfs>
  <cellStyles count="5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11" xfId="38"/>
    <cellStyle name="Normal 2" xfId="39"/>
    <cellStyle name="Normal 8" xfId="40"/>
    <cellStyle name="Normal 9" xfId="41"/>
    <cellStyle name="Normal_Ciucului" xfId="42"/>
    <cellStyle name="Normal_Oltului" xfId="43"/>
    <cellStyle name="Normal_Oltului_1" xfId="44"/>
    <cellStyle name="Normal_Oltului_2" xfId="45"/>
    <cellStyle name="Normal_Pescarilor" xfId="46"/>
    <cellStyle name="Normal_Podetului" xfId="47"/>
    <cellStyle name="Normal_Primaverii" xfId="48"/>
    <cellStyle name="Normal_Romulus Cioflec_4" xfId="49"/>
    <cellStyle name="Normal_Stadionului" xfId="50"/>
    <cellStyle name="Note" xfId="51" builtinId="10" customBuiltin="1"/>
    <cellStyle name="Output" xfId="52" builtinId="21" customBuiltin="1"/>
    <cellStyle name="Percent" xfId="53" builtinId="5"/>
    <cellStyle name="Title" xfId="54" builtinId="15" customBuiltin="1"/>
    <cellStyle name="Total" xfId="55" builtinId="25" customBuiltin="1"/>
    <cellStyle name="Warning Text" xfId="56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ctra%202016/Mun%20Stantu%20Gheorghe/Aditional%204%20final/1%20Aditional%207%20-%20str.Orko%20fara%20uzura/Appendix%201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zimbalmos.csaba/My%20Documents/Downloads/Appendix%201-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 TOTALE"/>
      <sheetName val="SUMMARY OF PAYMENT B"/>
      <sheetName val="Liste Globale"/>
      <sheetName val="Lista 1-podetului"/>
      <sheetName val="Lista 2-grigore balan"/>
      <sheetName val="Lista 3-stadionului"/>
      <sheetName val="Lista 4-Castanilor"/>
      <sheetName val="Lista 5-primaverii"/>
      <sheetName val="Lista 6-romulus cioflec"/>
      <sheetName val="Lista 7-nicolae colan"/>
      <sheetName val="Lista 8-nicolae iorga"/>
      <sheetName val="Lista 9-cartier oltului"/>
      <sheetName val="Lista 10-oltului"/>
      <sheetName val="Lista 11-bisericii"/>
      <sheetName val="Lista 12-korosi cs sandor"/>
      <sheetName val="Lista 13-szekely gyorgy"/>
      <sheetName val="Lista 14-vasile goldis"/>
      <sheetName val="Lista 15-libertatii"/>
      <sheetName val="Lista 16-lacramioarei"/>
      <sheetName val="Lista 17-puskas tivadar"/>
      <sheetName val="Lista 18-narciselor"/>
      <sheetName val="Lista 19-podului"/>
      <sheetName val="Lista 20-daliei"/>
      <sheetName val="Lista 21-1 decembrie 1918"/>
      <sheetName val="Lista 22-ciucului"/>
      <sheetName val="Lista 23-nuferilor"/>
      <sheetName val="Lista 24-david ferencz"/>
      <sheetName val="Lista 25-caminului"/>
      <sheetName val="Lista 26-pescarilor"/>
      <sheetName val="Lista-27-oltului 35"/>
      <sheetName val="Lista 28-gabor aron"/>
      <sheetName val="Lista 29-p-miko imre"/>
      <sheetName val="Lista 30-p-cartier simeria"/>
      <sheetName val="Lista 31-p-iriny janos"/>
      <sheetName val="Lista 32-p-canepei"/>
      <sheetName val="Lista 33-p-orko"/>
      <sheetName val="Lista 34-p-digului"/>
      <sheetName val="Lista 35-p-malomgat"/>
      <sheetName val="Lista 36-sf-debren"/>
      <sheetName val="Lista 37-sf-bartalis ferencz"/>
      <sheetName val="Lista 38-sf-orban balasz"/>
      <sheetName val="Lista 39-supliment"/>
      <sheetName val="Lista 39-supliment  calcul"/>
      <sheetName val="Liste globale calcul f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226">
          <cell r="F226">
            <v>594928.34999999986</v>
          </cell>
        </row>
      </sheetData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e TOTALE"/>
      <sheetName val="SUMMARY OF PAYMENT B"/>
      <sheetName val="Liste Globale"/>
      <sheetName val="Lista 1-podetului"/>
      <sheetName val="Lista 2-grigore balan"/>
      <sheetName val="Lista 3-stadionului"/>
      <sheetName val="Lista 4-Castanilor"/>
      <sheetName val="Lista 5-primaverii"/>
      <sheetName val="Lista 6-romulus cioflec"/>
      <sheetName val="Lista 7-nicolae colan"/>
      <sheetName val="Lista 8-nicolae iorga"/>
      <sheetName val="Lista 9-cartier oltului"/>
      <sheetName val="Lista 10-oltului"/>
      <sheetName val="Lista 11-bisericii"/>
      <sheetName val="Lista 12-korosi cs sandor"/>
      <sheetName val="Lista 13-szekely gyorgy"/>
      <sheetName val="Lista 14-vasile goldis"/>
      <sheetName val="Lista 15-libertatii"/>
      <sheetName val="Lista 16-lacramioarei"/>
      <sheetName val="Lista 17-puskas tivadar"/>
      <sheetName val="Lista 18-narciselor"/>
      <sheetName val="Lista 19-podului"/>
      <sheetName val="Lista 20-daliei"/>
      <sheetName val="Lista 21-1 decembrie 1918"/>
      <sheetName val="Lista 22-ciucului"/>
      <sheetName val="Lista 23-nuferilor"/>
      <sheetName val="Lista 24-david ferencz"/>
      <sheetName val="Lista 25-caminului"/>
      <sheetName val="Lista 26-pescarilor"/>
      <sheetName val="Lista-27-oltului 35"/>
      <sheetName val="Lista 28-gabor aron"/>
      <sheetName val="Lista 29-p-miko imre"/>
      <sheetName val="Lista 30-p-cartier simeria"/>
      <sheetName val="Lista 31-p-iriny janos"/>
      <sheetName val="Lista 32-p-canepei"/>
      <sheetName val="Lista 33-p-orko"/>
      <sheetName val="Lista 34-p-digului"/>
      <sheetName val="Lista 35-p-malomgat"/>
      <sheetName val="Lista 36-sf-debren"/>
      <sheetName val="Lista 37-sf-bartalis ferencz"/>
      <sheetName val="Lista 38-sf-orban balasz"/>
      <sheetName val="Lista 39-supliment"/>
      <sheetName val="Lista 39-supliment  calcul"/>
      <sheetName val="Liste globale calcul f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56">
          <cell r="O156">
            <v>341786.24000000005</v>
          </cell>
          <cell r="Q156">
            <v>22452.170000000002</v>
          </cell>
        </row>
      </sheetData>
      <sheetData sheetId="31"/>
      <sheetData sheetId="32">
        <row r="226">
          <cell r="F226">
            <v>381818.70999999996</v>
          </cell>
        </row>
      </sheetData>
      <sheetData sheetId="33"/>
      <sheetData sheetId="34">
        <row r="156">
          <cell r="O156">
            <v>166407.78000000003</v>
          </cell>
          <cell r="Q156">
            <v>63501.869999999995</v>
          </cell>
        </row>
      </sheetData>
      <sheetData sheetId="35">
        <row r="156">
          <cell r="O156">
            <v>68414.77999999997</v>
          </cell>
          <cell r="Q156">
            <v>38111.370000000003</v>
          </cell>
        </row>
      </sheetData>
      <sheetData sheetId="36"/>
      <sheetData sheetId="37"/>
      <sheetData sheetId="38">
        <row r="156">
          <cell r="O156">
            <v>99374.470000000016</v>
          </cell>
          <cell r="Q156">
            <v>78314.539999999994</v>
          </cell>
        </row>
      </sheetData>
      <sheetData sheetId="39">
        <row r="156">
          <cell r="O156">
            <v>102580.28999999998</v>
          </cell>
          <cell r="Q156">
            <v>35401.910000000003</v>
          </cell>
        </row>
      </sheetData>
      <sheetData sheetId="40">
        <row r="156">
          <cell r="O156">
            <v>55571.96</v>
          </cell>
          <cell r="Q156">
            <v>53378.079999999994</v>
          </cell>
        </row>
      </sheetData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1:N48"/>
  <sheetViews>
    <sheetView view="pageBreakPreview" topLeftCell="A22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6" customWidth="1"/>
    <col min="3" max="3" width="38.7109375" customWidth="1"/>
    <col min="4" max="4" width="10.140625" customWidth="1"/>
    <col min="5" max="5" width="10.85546875" customWidth="1"/>
    <col min="6" max="6" width="8.7109375" customWidth="1"/>
    <col min="7" max="7" width="9.5703125" customWidth="1"/>
    <col min="8" max="8" width="9.28515625" customWidth="1"/>
    <col min="10" max="10" width="25.85546875" customWidth="1"/>
    <col min="11" max="12" width="12.85546875" bestFit="1" customWidth="1"/>
  </cols>
  <sheetData>
    <row r="1" spans="2:8">
      <c r="B1" s="14"/>
      <c r="C1" s="159" t="s">
        <v>0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2.1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4">
      <c r="B17" s="150" t="s">
        <v>18</v>
      </c>
      <c r="C17" s="151"/>
      <c r="D17" s="151"/>
      <c r="E17" s="151"/>
      <c r="F17" s="151"/>
      <c r="G17" s="151"/>
      <c r="H17" s="152"/>
    </row>
    <row r="18" spans="2:14">
      <c r="B18" s="135" t="s">
        <v>19</v>
      </c>
      <c r="C18" s="136"/>
      <c r="D18" s="136"/>
      <c r="E18" s="136"/>
      <c r="F18" s="136"/>
      <c r="G18" s="136"/>
      <c r="H18" s="137"/>
    </row>
    <row r="19" spans="2:14" ht="25.5">
      <c r="B19" s="17"/>
      <c r="C19" s="11" t="s">
        <v>20</v>
      </c>
      <c r="D19" s="29"/>
      <c r="E19" s="29"/>
      <c r="F19" s="30"/>
      <c r="G19" s="30"/>
      <c r="H19" s="30"/>
    </row>
    <row r="20" spans="2:14">
      <c r="B20" s="10"/>
      <c r="C20" s="13" t="s">
        <v>21</v>
      </c>
      <c r="D20" s="32"/>
      <c r="E20" s="32"/>
      <c r="F20" s="32"/>
      <c r="G20" s="32"/>
      <c r="H20" s="32"/>
    </row>
    <row r="21" spans="2:14">
      <c r="B21" s="150" t="s">
        <v>22</v>
      </c>
      <c r="C21" s="151"/>
      <c r="D21" s="151"/>
      <c r="E21" s="151"/>
      <c r="F21" s="151"/>
      <c r="G21" s="151"/>
      <c r="H21" s="152"/>
    </row>
    <row r="22" spans="2:14">
      <c r="B22" s="135" t="s">
        <v>23</v>
      </c>
      <c r="C22" s="136"/>
      <c r="D22" s="136"/>
      <c r="E22" s="136"/>
      <c r="F22" s="136"/>
      <c r="G22" s="136"/>
      <c r="H22" s="137"/>
      <c r="J22" s="106"/>
      <c r="K22" s="106"/>
      <c r="L22" s="106"/>
      <c r="M22" s="106"/>
      <c r="N22" s="106"/>
    </row>
    <row r="23" spans="2:14" ht="15">
      <c r="B23" s="17" t="s">
        <v>24</v>
      </c>
      <c r="C23" s="11" t="s">
        <v>25</v>
      </c>
      <c r="D23" s="57">
        <f>E23*G6</f>
        <v>2.9345187500000001</v>
      </c>
      <c r="E23" s="57">
        <f>0.33065*2</f>
        <v>0.6613</v>
      </c>
      <c r="F23" s="55">
        <f>D23*0.24</f>
        <v>0.70428449999999998</v>
      </c>
      <c r="G23" s="55">
        <f>F23+D23</f>
        <v>3.63880325</v>
      </c>
      <c r="H23" s="55">
        <f>G23/$G$6</f>
        <v>0.82001199999999996</v>
      </c>
      <c r="J23" s="106"/>
      <c r="K23" s="107"/>
      <c r="L23" s="106"/>
      <c r="M23" s="106"/>
      <c r="N23" s="106"/>
    </row>
    <row r="24" spans="2:14">
      <c r="B24" s="40">
        <v>3.2</v>
      </c>
      <c r="C24" s="56" t="s">
        <v>26</v>
      </c>
      <c r="D24" s="117">
        <f>E24*G6</f>
        <v>30.517575000000001</v>
      </c>
      <c r="E24" s="117">
        <v>6.8772000000000002</v>
      </c>
      <c r="F24" s="55">
        <f>D24*0.24</f>
        <v>7.3242180000000001</v>
      </c>
      <c r="G24" s="55">
        <f>F24+D24</f>
        <v>37.841793000000003</v>
      </c>
      <c r="H24" s="55">
        <f>G24/$G$6</f>
        <v>8.5277279999999998</v>
      </c>
      <c r="J24" s="106"/>
      <c r="K24" s="106"/>
      <c r="L24" s="106"/>
      <c r="M24" s="106"/>
      <c r="N24" s="106"/>
    </row>
    <row r="25" spans="2:14">
      <c r="B25" s="10"/>
      <c r="C25" s="13" t="s">
        <v>27</v>
      </c>
      <c r="D25" s="48">
        <f>SUM(D23:D24)</f>
        <v>33.452093750000003</v>
      </c>
      <c r="E25" s="48">
        <f>SUM(E23:E24)</f>
        <v>7.5385</v>
      </c>
      <c r="F25" s="48">
        <f>SUM(F23:F24)</f>
        <v>8.0285025000000001</v>
      </c>
      <c r="G25" s="48">
        <f>SUM(G23:G24)</f>
        <v>41.480596250000005</v>
      </c>
      <c r="H25" s="48">
        <f>SUM(H23:H24)</f>
        <v>9.3477399999999999</v>
      </c>
      <c r="J25" s="106"/>
      <c r="K25" s="106"/>
      <c r="L25" s="106"/>
      <c r="M25" s="106"/>
      <c r="N25" s="106"/>
    </row>
    <row r="26" spans="2:14">
      <c r="B26" s="150" t="s">
        <v>28</v>
      </c>
      <c r="C26" s="151"/>
      <c r="D26" s="151"/>
      <c r="E26" s="151"/>
      <c r="F26" s="151"/>
      <c r="G26" s="151"/>
      <c r="H26" s="152"/>
      <c r="J26" s="106"/>
      <c r="K26" s="106"/>
      <c r="L26" s="106"/>
      <c r="M26" s="106"/>
      <c r="N26" s="106"/>
    </row>
    <row r="27" spans="2:14">
      <c r="B27" s="135" t="s">
        <v>29</v>
      </c>
      <c r="C27" s="136"/>
      <c r="D27" s="136"/>
      <c r="E27" s="136"/>
      <c r="F27" s="136"/>
      <c r="G27" s="136"/>
      <c r="H27" s="137"/>
      <c r="J27" s="106"/>
      <c r="K27" s="106"/>
      <c r="L27" s="106"/>
      <c r="M27" s="106"/>
      <c r="N27" s="106"/>
    </row>
    <row r="28" spans="2:14">
      <c r="B28" s="41">
        <v>4</v>
      </c>
      <c r="C28" s="42" t="s">
        <v>30</v>
      </c>
      <c r="D28" s="42"/>
      <c r="E28" s="42"/>
      <c r="F28" s="42"/>
      <c r="G28" s="42"/>
      <c r="H28" s="43"/>
      <c r="J28" s="106"/>
      <c r="K28" s="106"/>
      <c r="L28" s="106"/>
      <c r="M28" s="106"/>
      <c r="N28" s="106"/>
    </row>
    <row r="29" spans="2:14" ht="25.5">
      <c r="B29" s="17">
        <v>4.0999999999999996</v>
      </c>
      <c r="C29" s="11" t="s">
        <v>31</v>
      </c>
      <c r="D29" s="57">
        <f>E29*G6</f>
        <v>297.71609062500005</v>
      </c>
      <c r="E29" s="57">
        <v>67.090950000000007</v>
      </c>
      <c r="F29" s="55">
        <f>D29*0.24</f>
        <v>71.451861750000006</v>
      </c>
      <c r="G29" s="55">
        <f>F29+D29</f>
        <v>369.16795237500003</v>
      </c>
      <c r="H29" s="55">
        <f>G29/$G$6</f>
        <v>83.192778000000004</v>
      </c>
      <c r="J29" s="106"/>
      <c r="K29" s="106"/>
      <c r="L29" s="106"/>
      <c r="M29" s="106"/>
      <c r="N29" s="106"/>
    </row>
    <row r="30" spans="2:14">
      <c r="B30" s="18">
        <v>4.2</v>
      </c>
      <c r="C30" s="1" t="s">
        <v>32</v>
      </c>
      <c r="D30" s="57">
        <f>E30*G6</f>
        <v>137.617525</v>
      </c>
      <c r="E30" s="57">
        <v>31.0124</v>
      </c>
      <c r="F30" s="55">
        <f>D30*0.24</f>
        <v>33.028205999999997</v>
      </c>
      <c r="G30" s="55">
        <f>F30+D30</f>
        <v>170.64573100000001</v>
      </c>
      <c r="H30" s="55">
        <f>G30/$G$6</f>
        <v>38.455376000000001</v>
      </c>
      <c r="J30" s="106"/>
      <c r="K30" s="106"/>
      <c r="L30" s="106"/>
      <c r="M30" s="106"/>
      <c r="N30" s="106"/>
    </row>
    <row r="31" spans="2:14">
      <c r="B31" s="18">
        <v>4.3</v>
      </c>
      <c r="C31" s="1" t="s">
        <v>33</v>
      </c>
      <c r="D31" s="57">
        <f>E31*G6</f>
        <v>73.793273124999999</v>
      </c>
      <c r="E31" s="57">
        <v>16.629470000000001</v>
      </c>
      <c r="F31" s="55">
        <f>D31*0.24</f>
        <v>17.710385549999998</v>
      </c>
      <c r="G31" s="55">
        <f>F31+D31</f>
        <v>91.503658674999997</v>
      </c>
      <c r="H31" s="55">
        <f>G31/$G$6</f>
        <v>20.620542799999999</v>
      </c>
      <c r="J31" s="106"/>
      <c r="K31" s="106"/>
      <c r="L31" s="106"/>
      <c r="M31" s="106"/>
      <c r="N31" s="106"/>
    </row>
    <row r="32" spans="2:14">
      <c r="B32" s="19"/>
      <c r="C32" s="12" t="s">
        <v>34</v>
      </c>
      <c r="D32" s="54">
        <f>SUM(D29:D31)</f>
        <v>509.12688875000003</v>
      </c>
      <c r="E32" s="54">
        <f>SUM(E29:E31)</f>
        <v>114.73282</v>
      </c>
      <c r="F32" s="54">
        <f>SUM(F29:F31)</f>
        <v>122.1904533</v>
      </c>
      <c r="G32" s="54">
        <f>SUM(G29:G31)</f>
        <v>631.31734204999998</v>
      </c>
      <c r="H32" s="54">
        <f>SUM(H29:H31)</f>
        <v>142.26869680000001</v>
      </c>
      <c r="J32" s="106"/>
      <c r="K32" s="106"/>
      <c r="L32" s="106"/>
      <c r="M32" s="106"/>
      <c r="N32" s="106"/>
    </row>
    <row r="33" spans="2:14">
      <c r="B33" s="144" t="s">
        <v>35</v>
      </c>
      <c r="C33" s="145"/>
      <c r="D33" s="145"/>
      <c r="E33" s="145"/>
      <c r="F33" s="145"/>
      <c r="G33" s="145"/>
      <c r="H33" s="146"/>
      <c r="J33" s="106"/>
      <c r="K33" s="106"/>
      <c r="L33" s="106"/>
      <c r="M33" s="106"/>
      <c r="N33" s="106"/>
    </row>
    <row r="34" spans="2:14">
      <c r="B34" s="147" t="s">
        <v>36</v>
      </c>
      <c r="C34" s="148"/>
      <c r="D34" s="148"/>
      <c r="E34" s="148"/>
      <c r="F34" s="148"/>
      <c r="G34" s="148"/>
      <c r="H34" s="149"/>
      <c r="J34" s="106"/>
      <c r="K34" s="106"/>
      <c r="L34" s="106"/>
      <c r="M34" s="106"/>
      <c r="N34" s="106"/>
    </row>
    <row r="35" spans="2:14">
      <c r="B35" s="21" t="s">
        <v>37</v>
      </c>
      <c r="C35" s="1" t="s">
        <v>38</v>
      </c>
      <c r="D35" s="6"/>
      <c r="E35" s="6"/>
      <c r="F35" s="6"/>
      <c r="G35" s="6"/>
      <c r="H35" s="6"/>
      <c r="J35" s="106"/>
      <c r="K35" s="106"/>
      <c r="L35" s="106"/>
      <c r="M35" s="106"/>
      <c r="N35" s="106"/>
    </row>
    <row r="36" spans="2:14" ht="25.5">
      <c r="B36" s="21" t="s">
        <v>39</v>
      </c>
      <c r="C36" s="1" t="s">
        <v>40</v>
      </c>
      <c r="D36" s="50"/>
      <c r="E36" s="34"/>
      <c r="F36" s="35"/>
      <c r="G36" s="35"/>
      <c r="H36" s="35"/>
      <c r="J36" s="106"/>
      <c r="K36" s="106"/>
      <c r="L36" s="106"/>
      <c r="M36" s="106"/>
      <c r="N36" s="106"/>
    </row>
    <row r="37" spans="2:14">
      <c r="B37" s="20" t="s">
        <v>41</v>
      </c>
      <c r="C37" s="1" t="s">
        <v>42</v>
      </c>
      <c r="D37" s="34"/>
      <c r="E37" s="34"/>
      <c r="F37" s="35"/>
      <c r="G37" s="35"/>
      <c r="H37" s="35"/>
      <c r="J37" s="106"/>
      <c r="K37" s="106"/>
      <c r="L37" s="106"/>
      <c r="M37" s="106"/>
      <c r="N37" s="106"/>
    </row>
    <row r="38" spans="2:14">
      <c r="B38" s="21" t="s">
        <v>43</v>
      </c>
      <c r="C38" s="1" t="s">
        <v>44</v>
      </c>
      <c r="D38" s="34"/>
      <c r="E38" s="34"/>
      <c r="F38" s="35"/>
      <c r="G38" s="35"/>
      <c r="H38" s="35"/>
      <c r="J38" s="106"/>
      <c r="K38" s="106"/>
      <c r="L38" s="106"/>
      <c r="M38" s="106"/>
      <c r="N38" s="106"/>
    </row>
    <row r="39" spans="2:14">
      <c r="B39" s="20" t="s">
        <v>45</v>
      </c>
      <c r="C39" s="1" t="s">
        <v>46</v>
      </c>
      <c r="D39" s="34"/>
      <c r="E39" s="34"/>
      <c r="F39" s="35"/>
      <c r="G39" s="35"/>
      <c r="H39" s="35"/>
      <c r="J39" s="106"/>
      <c r="K39" s="106"/>
      <c r="L39" s="106"/>
      <c r="M39" s="106"/>
      <c r="N39" s="106"/>
    </row>
    <row r="40" spans="2:14">
      <c r="B40" s="20" t="s">
        <v>47</v>
      </c>
      <c r="C40" s="1" t="s">
        <v>48</v>
      </c>
      <c r="D40" s="34"/>
      <c r="E40" s="34"/>
      <c r="F40" s="35"/>
      <c r="G40" s="35"/>
      <c r="H40" s="35"/>
      <c r="J40" s="106"/>
      <c r="K40" s="106"/>
      <c r="L40" s="106"/>
      <c r="M40" s="106"/>
      <c r="N40" s="106"/>
    </row>
    <row r="41" spans="2:14">
      <c r="B41" s="23"/>
      <c r="C41" s="24" t="s">
        <v>49</v>
      </c>
      <c r="D41" s="33"/>
      <c r="E41" s="33"/>
      <c r="F41" s="33"/>
      <c r="G41" s="33"/>
      <c r="H41" s="33"/>
      <c r="J41" s="106"/>
      <c r="K41" s="106"/>
      <c r="L41" s="106"/>
      <c r="M41" s="106"/>
      <c r="N41" s="106"/>
    </row>
    <row r="42" spans="2:14">
      <c r="B42" s="150" t="s">
        <v>50</v>
      </c>
      <c r="C42" s="151"/>
      <c r="D42" s="151"/>
      <c r="E42" s="151"/>
      <c r="F42" s="151"/>
      <c r="G42" s="151"/>
      <c r="H42" s="152"/>
      <c r="J42" s="106"/>
      <c r="K42" s="106"/>
      <c r="L42" s="106"/>
      <c r="M42" s="106"/>
      <c r="N42" s="106"/>
    </row>
    <row r="43" spans="2:14">
      <c r="B43" s="135" t="s">
        <v>51</v>
      </c>
      <c r="C43" s="136"/>
      <c r="D43" s="136"/>
      <c r="E43" s="136"/>
      <c r="F43" s="136"/>
      <c r="G43" s="136"/>
      <c r="H43" s="137"/>
      <c r="J43" s="106"/>
      <c r="K43" s="106"/>
      <c r="L43" s="106"/>
      <c r="M43" s="106"/>
      <c r="N43" s="106"/>
    </row>
    <row r="44" spans="2:14">
      <c r="B44" s="17">
        <v>6.1</v>
      </c>
      <c r="C44" s="11" t="s">
        <v>52</v>
      </c>
      <c r="D44" s="34"/>
      <c r="E44" s="34"/>
      <c r="F44" s="35"/>
      <c r="G44" s="35"/>
      <c r="H44" s="35"/>
      <c r="J44" s="106"/>
      <c r="K44" s="106"/>
      <c r="L44" s="106"/>
      <c r="M44" s="106"/>
      <c r="N44" s="106"/>
    </row>
    <row r="45" spans="2:14">
      <c r="B45" s="18">
        <v>6.2</v>
      </c>
      <c r="C45" s="1" t="s">
        <v>53</v>
      </c>
      <c r="D45" s="34"/>
      <c r="E45" s="34"/>
      <c r="F45" s="35"/>
      <c r="G45" s="35"/>
      <c r="H45" s="35"/>
      <c r="J45" s="106"/>
      <c r="K45" s="106"/>
      <c r="L45" s="106"/>
      <c r="M45" s="106"/>
      <c r="N45" s="106"/>
    </row>
    <row r="46" spans="2:14">
      <c r="B46" s="10"/>
      <c r="C46" s="22" t="s">
        <v>54</v>
      </c>
      <c r="D46" s="36"/>
      <c r="E46" s="36"/>
      <c r="F46" s="36"/>
      <c r="G46" s="36"/>
      <c r="H46" s="36"/>
      <c r="J46" s="106"/>
      <c r="K46" s="106"/>
      <c r="L46" s="106"/>
      <c r="M46" s="106"/>
      <c r="N46" s="106"/>
    </row>
    <row r="47" spans="2:14" ht="15">
      <c r="B47" s="47"/>
      <c r="C47" s="46" t="s">
        <v>55</v>
      </c>
      <c r="D47" s="49">
        <f>D46+D41+D32+D25+D20+D16</f>
        <v>542.57898250000005</v>
      </c>
      <c r="E47" s="49">
        <f>E16+E20+E25+E32+E41</f>
        <v>122.27132</v>
      </c>
      <c r="F47" s="49">
        <f>F16+F20+F25+F32+F41</f>
        <v>130.2189558</v>
      </c>
      <c r="G47" s="49">
        <f>G16+G20+G25+G32+G41</f>
        <v>672.79793829999994</v>
      </c>
      <c r="H47" s="49">
        <f>H16+H20+H25+H32+H41</f>
        <v>151.6164368</v>
      </c>
      <c r="J47" s="125" t="s">
        <v>95</v>
      </c>
      <c r="K47" s="106"/>
      <c r="L47" s="106"/>
      <c r="M47" s="106"/>
      <c r="N47" s="106"/>
    </row>
    <row r="48" spans="2:14" ht="15">
      <c r="B48" s="47"/>
      <c r="C48" s="46" t="s">
        <v>56</v>
      </c>
      <c r="D48" s="49">
        <f>D14+D15+D20+D30+D31+D29+D36</f>
        <v>509.12688875000003</v>
      </c>
      <c r="E48" s="49">
        <f>E14+E15+E20+E29+E30+E31+E36</f>
        <v>114.73282</v>
      </c>
      <c r="F48" s="49">
        <f>F14+F15+F20+F29+F30+F31+F36</f>
        <v>122.1904533</v>
      </c>
      <c r="G48" s="49">
        <f>G14+G15+G20+G29+G30+G31+G36</f>
        <v>631.31734204999998</v>
      </c>
      <c r="H48" s="49">
        <f>H14+H15+H20+H29+H30+H31+H36</f>
        <v>142.26869680000001</v>
      </c>
      <c r="J48" s="126" t="e">
        <f ca="1">(E48+'Grigore Balan'!E48+Stadionului!E48+Castanilor!E48+Primaverii!E48+'Romulus Cioflec'!E48+N.Colan!E48+'Nicolae Iorga'!E48+'Cartier Oltului'!E48+Oltului!E48+Bisericii!E48+'Korosi cs Sandor'!E48+'Szekely Gyorgy'!E48+'Vasile Goldis'!E48+Libertatii!E48+Lacramioarei!E48+'Puskas Tivadar'!E48+Narciselor!E48+Podului!E48+Daliei!E48+'1 Decembrie 1918'!E48+Ciucului!E48+Nuferilor!E48+'David Feerencz'!E48+Caminului!E48+Pescarilor!E48+'Oltului 35'!E48+'Gabor Aron'!E48+#REF!+'Cartier Simeria'!E48+#REF!+Cinepei!E48+Orko!E48+#REF!+#REF!+Debren!E48+'Bartalis Ferencz'!E48+'Orban Balasz'!E48+('[1]Lista 39-supliment'!$F$226)/1000)*1000</f>
        <v>#REF!</v>
      </c>
      <c r="K48" s="106"/>
      <c r="L48" s="106"/>
      <c r="M48" s="106"/>
      <c r="N48" s="106"/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3937499999999999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B1:N48"/>
  <sheetViews>
    <sheetView view="pageBreakPreview" topLeftCell="A31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6" customWidth="1"/>
    <col min="3" max="3" width="38.85546875" customWidth="1"/>
    <col min="4" max="4" width="9.5703125" customWidth="1"/>
    <col min="5" max="5" width="8.42578125" customWidth="1"/>
    <col min="7" max="7" width="9.5703125" customWidth="1"/>
    <col min="8" max="8" width="8.7109375" customWidth="1"/>
    <col min="11" max="11" width="14" customWidth="1"/>
    <col min="12" max="12" width="11.28515625" customWidth="1"/>
    <col min="13" max="13" width="12.28515625" customWidth="1"/>
    <col min="14" max="14" width="13" customWidth="1"/>
  </cols>
  <sheetData>
    <row r="1" spans="2:8">
      <c r="B1" s="14"/>
      <c r="C1" s="159" t="s">
        <v>64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48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 t="s">
        <v>61</v>
      </c>
      <c r="G5" s="26"/>
      <c r="H5" s="2"/>
    </row>
    <row r="6" spans="2:8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4">
      <c r="B17" s="150" t="s">
        <v>18</v>
      </c>
      <c r="C17" s="151"/>
      <c r="D17" s="151"/>
      <c r="E17" s="151"/>
      <c r="F17" s="151"/>
      <c r="G17" s="151"/>
      <c r="H17" s="152"/>
    </row>
    <row r="18" spans="2:14">
      <c r="B18" s="135" t="s">
        <v>19</v>
      </c>
      <c r="C18" s="136"/>
      <c r="D18" s="136"/>
      <c r="E18" s="136"/>
      <c r="F18" s="136"/>
      <c r="G18" s="136"/>
      <c r="H18" s="137"/>
    </row>
    <row r="19" spans="2:14" ht="25.5">
      <c r="B19" s="17"/>
      <c r="C19" s="11" t="s">
        <v>20</v>
      </c>
      <c r="D19" s="29"/>
      <c r="E19" s="29"/>
      <c r="F19" s="30"/>
      <c r="G19" s="30"/>
      <c r="H19" s="30"/>
      <c r="J19" s="106"/>
      <c r="K19" s="106"/>
      <c r="L19" s="106"/>
      <c r="M19" s="106"/>
      <c r="N19" s="106"/>
    </row>
    <row r="20" spans="2:14">
      <c r="B20" s="10"/>
      <c r="C20" s="13" t="s">
        <v>21</v>
      </c>
      <c r="D20" s="32"/>
      <c r="E20" s="32"/>
      <c r="F20" s="32"/>
      <c r="G20" s="32"/>
      <c r="H20" s="32"/>
      <c r="J20" s="106"/>
      <c r="K20" s="106"/>
      <c r="L20" s="106"/>
      <c r="M20" s="106"/>
      <c r="N20" s="106"/>
    </row>
    <row r="21" spans="2:14">
      <c r="B21" s="150" t="s">
        <v>22</v>
      </c>
      <c r="C21" s="151"/>
      <c r="D21" s="151"/>
      <c r="E21" s="151"/>
      <c r="F21" s="151"/>
      <c r="G21" s="151"/>
      <c r="H21" s="152"/>
      <c r="J21" s="106"/>
      <c r="K21" s="106"/>
      <c r="L21" s="106"/>
      <c r="M21" s="106"/>
      <c r="N21" s="106"/>
    </row>
    <row r="22" spans="2:14">
      <c r="B22" s="135" t="s">
        <v>23</v>
      </c>
      <c r="C22" s="136"/>
      <c r="D22" s="136"/>
      <c r="E22" s="136"/>
      <c r="F22" s="136"/>
      <c r="G22" s="136"/>
      <c r="H22" s="137"/>
      <c r="J22" s="106"/>
      <c r="K22" s="106"/>
      <c r="L22" s="106"/>
      <c r="M22" s="106"/>
      <c r="N22" s="106"/>
    </row>
    <row r="23" spans="2:14" ht="15">
      <c r="B23" s="17" t="s">
        <v>24</v>
      </c>
      <c r="C23" s="11" t="s">
        <v>25</v>
      </c>
      <c r="D23" s="57">
        <f>E23*G6</f>
        <v>7.7576374999999995</v>
      </c>
      <c r="E23" s="57">
        <v>1.7482</v>
      </c>
      <c r="F23" s="55">
        <f>D23*0.24</f>
        <v>1.8618329999999998</v>
      </c>
      <c r="G23" s="55">
        <f>F23+D23</f>
        <v>9.6194704999999985</v>
      </c>
      <c r="H23" s="55">
        <f>G23/$G$6</f>
        <v>2.1677679999999997</v>
      </c>
      <c r="J23" s="106"/>
      <c r="K23" s="111"/>
      <c r="L23" s="112"/>
      <c r="M23" s="113"/>
      <c r="N23" s="114"/>
    </row>
    <row r="24" spans="2:14">
      <c r="B24" s="40" t="s">
        <v>62</v>
      </c>
      <c r="C24" s="56" t="s">
        <v>26</v>
      </c>
      <c r="D24" s="117">
        <f>E24*G6</f>
        <v>61.378789999999995</v>
      </c>
      <c r="E24" s="117">
        <f>13.83184</f>
        <v>13.83184</v>
      </c>
      <c r="F24" s="55">
        <f>D24*0.24</f>
        <v>14.730909599999999</v>
      </c>
      <c r="G24" s="55">
        <f>F24+D24</f>
        <v>76.109699599999999</v>
      </c>
      <c r="H24" s="55">
        <f>G24/$G$6</f>
        <v>17.1514816</v>
      </c>
      <c r="J24" s="106"/>
      <c r="K24" s="106"/>
      <c r="L24" s="106"/>
      <c r="M24" s="106"/>
      <c r="N24" s="106"/>
    </row>
    <row r="25" spans="2:14">
      <c r="B25" s="10"/>
      <c r="C25" s="13" t="s">
        <v>27</v>
      </c>
      <c r="D25" s="48">
        <f>SUM(D23:D24)</f>
        <v>69.136427499999996</v>
      </c>
      <c r="E25" s="48">
        <f>SUM(E23:E24)</f>
        <v>15.58004</v>
      </c>
      <c r="F25" s="48">
        <f>SUM(F23:F24)</f>
        <v>16.592742599999998</v>
      </c>
      <c r="G25" s="48">
        <f>SUM(G23:G24)</f>
        <v>85.729170100000005</v>
      </c>
      <c r="H25" s="48">
        <f>SUM(H23:H24)</f>
        <v>19.319249599999999</v>
      </c>
      <c r="J25" s="106"/>
      <c r="K25" s="106"/>
      <c r="L25" s="106"/>
      <c r="M25" s="106"/>
      <c r="N25" s="106"/>
    </row>
    <row r="26" spans="2:14">
      <c r="B26" s="150" t="s">
        <v>28</v>
      </c>
      <c r="C26" s="151"/>
      <c r="D26" s="151"/>
      <c r="E26" s="151"/>
      <c r="F26" s="151"/>
      <c r="G26" s="151"/>
      <c r="H26" s="152"/>
      <c r="J26" s="106"/>
      <c r="K26" s="106"/>
      <c r="L26" s="106"/>
      <c r="M26" s="106"/>
      <c r="N26" s="106"/>
    </row>
    <row r="27" spans="2:14">
      <c r="B27" s="135" t="s">
        <v>29</v>
      </c>
      <c r="C27" s="136"/>
      <c r="D27" s="136"/>
      <c r="E27" s="136"/>
      <c r="F27" s="136"/>
      <c r="G27" s="136"/>
      <c r="H27" s="137"/>
      <c r="J27" s="106"/>
      <c r="K27" s="106"/>
      <c r="L27" s="106"/>
      <c r="M27" s="106"/>
      <c r="N27" s="106"/>
    </row>
    <row r="28" spans="2:14">
      <c r="B28" s="41">
        <v>4</v>
      </c>
      <c r="C28" s="42" t="s">
        <v>30</v>
      </c>
      <c r="D28" s="42"/>
      <c r="E28" s="42"/>
      <c r="F28" s="42"/>
      <c r="G28" s="42"/>
      <c r="H28" s="43"/>
      <c r="J28" s="106"/>
      <c r="K28" s="106"/>
      <c r="L28" s="106"/>
      <c r="M28" s="106"/>
      <c r="N28" s="106"/>
    </row>
    <row r="29" spans="2:14" ht="25.5">
      <c r="B29" s="17">
        <v>4.0999999999999996</v>
      </c>
      <c r="C29" s="11" t="s">
        <v>31</v>
      </c>
      <c r="D29" s="54">
        <f>E29*G6</f>
        <v>2037.128760625</v>
      </c>
      <c r="E29" s="54">
        <f>19.13416+40.28893+399.64818</f>
        <v>459.07127000000003</v>
      </c>
      <c r="F29" s="55">
        <f>D29*0.24</f>
        <v>488.91090255</v>
      </c>
      <c r="G29" s="55">
        <f>F29+D29</f>
        <v>2526.039663175</v>
      </c>
      <c r="H29" s="55">
        <f>G29/$G$6</f>
        <v>569.24837479999997</v>
      </c>
      <c r="J29" s="106"/>
      <c r="K29" s="106"/>
      <c r="L29" s="106"/>
      <c r="M29" s="106"/>
      <c r="N29" s="106"/>
    </row>
    <row r="30" spans="2:14">
      <c r="B30" s="18">
        <v>4.2</v>
      </c>
      <c r="C30" s="1" t="s">
        <v>32</v>
      </c>
      <c r="D30" s="54">
        <f>E30*G6</f>
        <v>0</v>
      </c>
      <c r="E30" s="54">
        <v>0</v>
      </c>
      <c r="F30" s="55">
        <f>D30*0.24</f>
        <v>0</v>
      </c>
      <c r="G30" s="55">
        <f>F30+D30</f>
        <v>0</v>
      </c>
      <c r="H30" s="55">
        <f>G30/$G$6</f>
        <v>0</v>
      </c>
      <c r="J30" s="106"/>
      <c r="K30" s="106"/>
      <c r="L30" s="106"/>
      <c r="M30" s="106"/>
      <c r="N30" s="106"/>
    </row>
    <row r="31" spans="2:14">
      <c r="B31" s="18">
        <v>4.3</v>
      </c>
      <c r="C31" s="1" t="s">
        <v>33</v>
      </c>
      <c r="D31" s="54">
        <f>E31*G6</f>
        <v>143.31514187500002</v>
      </c>
      <c r="E31" s="54">
        <f>2.70929+3.76176+25.82532</f>
        <v>32.296370000000003</v>
      </c>
      <c r="F31" s="55">
        <f>D31*0.24</f>
        <v>34.395634050000005</v>
      </c>
      <c r="G31" s="55">
        <f>F31+D31</f>
        <v>177.71077592500004</v>
      </c>
      <c r="H31" s="55">
        <f>G31/$G$6</f>
        <v>40.047498800000007</v>
      </c>
      <c r="J31" s="106"/>
      <c r="K31" s="106"/>
      <c r="L31" s="106"/>
      <c r="M31" s="106"/>
      <c r="N31" s="106"/>
    </row>
    <row r="32" spans="2:14">
      <c r="B32" s="19"/>
      <c r="C32" s="12" t="s">
        <v>34</v>
      </c>
      <c r="D32" s="54">
        <f>SUM(D29:D31)</f>
        <v>2180.4439025000001</v>
      </c>
      <c r="E32" s="54">
        <f>SUM(E29:E31)</f>
        <v>491.36764000000005</v>
      </c>
      <c r="F32" s="54">
        <f>SUM(F29:F31)</f>
        <v>523.30653659999996</v>
      </c>
      <c r="G32" s="54">
        <f>SUM(G29:G31)</f>
        <v>2703.7504391000002</v>
      </c>
      <c r="H32" s="54">
        <f>SUM(H29:H31)</f>
        <v>609.29587359999994</v>
      </c>
      <c r="J32" s="106"/>
      <c r="K32" s="106"/>
      <c r="L32" s="106"/>
      <c r="M32" s="106"/>
      <c r="N32" s="106"/>
    </row>
    <row r="33" spans="2:14">
      <c r="B33" s="144" t="s">
        <v>35</v>
      </c>
      <c r="C33" s="145"/>
      <c r="D33" s="145"/>
      <c r="E33" s="145"/>
      <c r="F33" s="145"/>
      <c r="G33" s="145"/>
      <c r="H33" s="146"/>
      <c r="J33" s="106"/>
      <c r="K33" s="106"/>
      <c r="L33" s="106"/>
      <c r="M33" s="106"/>
      <c r="N33" s="106"/>
    </row>
    <row r="34" spans="2:14">
      <c r="B34" s="147" t="s">
        <v>36</v>
      </c>
      <c r="C34" s="148"/>
      <c r="D34" s="148"/>
      <c r="E34" s="148"/>
      <c r="F34" s="148"/>
      <c r="G34" s="148"/>
      <c r="H34" s="149"/>
      <c r="J34" s="106"/>
      <c r="K34" s="106"/>
      <c r="L34" s="106"/>
      <c r="M34" s="106"/>
      <c r="N34" s="106"/>
    </row>
    <row r="35" spans="2:14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14" ht="25.5">
      <c r="B36" s="21" t="s">
        <v>39</v>
      </c>
      <c r="C36" s="1" t="s">
        <v>40</v>
      </c>
      <c r="D36" s="50"/>
      <c r="E36" s="34"/>
      <c r="F36" s="35"/>
      <c r="G36" s="35"/>
      <c r="H36" s="35"/>
    </row>
    <row r="37" spans="2:14">
      <c r="B37" s="20" t="s">
        <v>41</v>
      </c>
      <c r="C37" s="1" t="s">
        <v>42</v>
      </c>
      <c r="D37" s="34"/>
      <c r="E37" s="34"/>
      <c r="F37" s="35"/>
      <c r="G37" s="35"/>
      <c r="H37" s="35"/>
    </row>
    <row r="38" spans="2:14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14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14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14">
      <c r="B41" s="23"/>
      <c r="C41" s="24" t="s">
        <v>49</v>
      </c>
      <c r="D41" s="33"/>
      <c r="E41" s="33"/>
      <c r="F41" s="33"/>
      <c r="G41" s="33"/>
      <c r="H41" s="33"/>
    </row>
    <row r="42" spans="2:14">
      <c r="B42" s="150" t="s">
        <v>50</v>
      </c>
      <c r="C42" s="151"/>
      <c r="D42" s="151"/>
      <c r="E42" s="151"/>
      <c r="F42" s="151"/>
      <c r="G42" s="151"/>
      <c r="H42" s="152"/>
    </row>
    <row r="43" spans="2:14">
      <c r="B43" s="135" t="s">
        <v>51</v>
      </c>
      <c r="C43" s="136"/>
      <c r="D43" s="136"/>
      <c r="E43" s="136"/>
      <c r="F43" s="136"/>
      <c r="G43" s="136"/>
      <c r="H43" s="137"/>
    </row>
    <row r="44" spans="2:14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14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14">
      <c r="B46" s="10"/>
      <c r="C46" s="22" t="s">
        <v>54</v>
      </c>
      <c r="D46" s="36"/>
      <c r="E46" s="36"/>
      <c r="F46" s="36"/>
      <c r="G46" s="36"/>
      <c r="H46" s="36"/>
    </row>
    <row r="47" spans="2:14" ht="15">
      <c r="B47" s="47"/>
      <c r="C47" s="46" t="s">
        <v>55</v>
      </c>
      <c r="D47" s="49">
        <f>D46+D41+D32+D25+D20+D16</f>
        <v>2249.5803300000002</v>
      </c>
      <c r="E47" s="49">
        <f>E16+E20+E25+E32+E41</f>
        <v>506.94768000000005</v>
      </c>
      <c r="F47" s="49">
        <f>F16+F20+F25+F32+F41</f>
        <v>539.89927919999991</v>
      </c>
      <c r="G47" s="49">
        <f>G16+G20+G25+G32+G41</f>
        <v>2789.4796092000001</v>
      </c>
      <c r="H47" s="49">
        <f>H16+H20+H25+H32+H41</f>
        <v>628.61512319999997</v>
      </c>
    </row>
    <row r="48" spans="2:14" ht="15">
      <c r="B48" s="47"/>
      <c r="C48" s="46" t="s">
        <v>56</v>
      </c>
      <c r="D48" s="49">
        <f>D14+D15+D20+D30+D31+D29+D36</f>
        <v>2180.4439025000001</v>
      </c>
      <c r="E48" s="49">
        <f>E14+E15+E20+E29+E30+E31+E36</f>
        <v>491.36764000000005</v>
      </c>
      <c r="F48" s="49">
        <f>F14+F15+F20+F29+F30+F31+F36</f>
        <v>523.30653659999996</v>
      </c>
      <c r="G48" s="49">
        <f>G14+G15+G20+G29+G30+G31+G36</f>
        <v>2703.7504391000002</v>
      </c>
      <c r="H48" s="49">
        <f>H14+H15+H20+H29+H30+H31+H36</f>
        <v>609.29587359999994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B1:H57"/>
  <sheetViews>
    <sheetView view="pageBreakPreview" topLeftCell="A28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5.42578125" customWidth="1"/>
    <col min="3" max="3" width="38.42578125" customWidth="1"/>
    <col min="4" max="4" width="9.85546875" customWidth="1"/>
    <col min="5" max="5" width="7.7109375" customWidth="1"/>
    <col min="6" max="6" width="8.5703125" customWidth="1"/>
    <col min="7" max="7" width="9" customWidth="1"/>
    <col min="8" max="8" width="8.5703125" customWidth="1"/>
    <col min="12" max="12" width="12.85546875" bestFit="1" customWidth="1"/>
    <col min="13" max="13" width="11.7109375" bestFit="1" customWidth="1"/>
  </cols>
  <sheetData>
    <row r="1" spans="2:8">
      <c r="B1" s="14"/>
      <c r="C1" s="159" t="s">
        <v>65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9.950000000000003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8">
      <c r="B17" s="150" t="s">
        <v>18</v>
      </c>
      <c r="C17" s="151"/>
      <c r="D17" s="151"/>
      <c r="E17" s="151"/>
      <c r="F17" s="151"/>
      <c r="G17" s="151"/>
      <c r="H17" s="152"/>
    </row>
    <row r="18" spans="2:8">
      <c r="B18" s="135" t="s">
        <v>19</v>
      </c>
      <c r="C18" s="136"/>
      <c r="D18" s="136"/>
      <c r="E18" s="136"/>
      <c r="F18" s="136"/>
      <c r="G18" s="136"/>
      <c r="H18" s="137"/>
    </row>
    <row r="19" spans="2:8" ht="25.5">
      <c r="B19" s="17"/>
      <c r="C19" s="11" t="s">
        <v>20</v>
      </c>
      <c r="D19" s="29"/>
      <c r="E19" s="29"/>
      <c r="F19" s="30"/>
      <c r="G19" s="30"/>
      <c r="H19" s="30"/>
    </row>
    <row r="20" spans="2:8">
      <c r="B20" s="10"/>
      <c r="C20" s="13" t="s">
        <v>21</v>
      </c>
      <c r="D20" s="32"/>
      <c r="E20" s="32"/>
      <c r="F20" s="32"/>
      <c r="G20" s="32"/>
      <c r="H20" s="32"/>
    </row>
    <row r="21" spans="2:8">
      <c r="B21" s="150" t="s">
        <v>22</v>
      </c>
      <c r="C21" s="151"/>
      <c r="D21" s="151"/>
      <c r="E21" s="151"/>
      <c r="F21" s="151"/>
      <c r="G21" s="151"/>
      <c r="H21" s="152"/>
    </row>
    <row r="22" spans="2:8">
      <c r="B22" s="135" t="s">
        <v>23</v>
      </c>
      <c r="C22" s="136"/>
      <c r="D22" s="136"/>
      <c r="E22" s="136"/>
      <c r="F22" s="136"/>
      <c r="G22" s="136"/>
      <c r="H22" s="137"/>
    </row>
    <row r="23" spans="2:8">
      <c r="B23" s="17" t="s">
        <v>24</v>
      </c>
      <c r="C23" s="11" t="s">
        <v>25</v>
      </c>
      <c r="D23" s="57">
        <f>E23*G6</f>
        <v>3.6605824999999999</v>
      </c>
      <c r="E23" s="57">
        <f>0.41246*2</f>
        <v>0.82491999999999999</v>
      </c>
      <c r="F23" s="55">
        <f>D23*0.24</f>
        <v>0.87853979999999998</v>
      </c>
      <c r="G23" s="55">
        <f>F23+D23</f>
        <v>4.5391222999999998</v>
      </c>
      <c r="H23" s="55">
        <f>G23/$G$6</f>
        <v>1.0229007999999999</v>
      </c>
    </row>
    <row r="24" spans="2:8">
      <c r="B24" s="40">
        <v>3.2</v>
      </c>
      <c r="C24" s="56" t="s">
        <v>66</v>
      </c>
      <c r="D24" s="117">
        <f>E24*G6</f>
        <v>38.069135000000003</v>
      </c>
      <c r="E24" s="117">
        <v>8.5789600000000004</v>
      </c>
      <c r="F24" s="55">
        <f>D24*0.24</f>
        <v>9.1365923999999996</v>
      </c>
      <c r="G24" s="55">
        <f>F24+D24</f>
        <v>47.205727400000001</v>
      </c>
      <c r="H24" s="55">
        <f>G24/$G$6</f>
        <v>10.637910400000001</v>
      </c>
    </row>
    <row r="25" spans="2:8">
      <c r="B25" s="10"/>
      <c r="C25" s="13" t="s">
        <v>27</v>
      </c>
      <c r="D25" s="48">
        <f>SUM(D23:D24)</f>
        <v>41.7297175</v>
      </c>
      <c r="E25" s="48">
        <f>SUM(E23:E24)</f>
        <v>9.4038800000000009</v>
      </c>
      <c r="F25" s="48">
        <f>SUM(F23:F23)</f>
        <v>0.87853979999999998</v>
      </c>
      <c r="G25" s="48">
        <f>SUM(G23:G23)</f>
        <v>4.5391222999999998</v>
      </c>
      <c r="H25" s="48">
        <f>SUM(H23:H23)</f>
        <v>1.0229007999999999</v>
      </c>
    </row>
    <row r="26" spans="2:8">
      <c r="B26" s="150" t="s">
        <v>28</v>
      </c>
      <c r="C26" s="151"/>
      <c r="D26" s="151"/>
      <c r="E26" s="151"/>
      <c r="F26" s="151"/>
      <c r="G26" s="151"/>
      <c r="H26" s="152"/>
    </row>
    <row r="27" spans="2:8">
      <c r="B27" s="135" t="s">
        <v>29</v>
      </c>
      <c r="C27" s="136"/>
      <c r="D27" s="136"/>
      <c r="E27" s="136"/>
      <c r="F27" s="136"/>
      <c r="G27" s="136"/>
      <c r="H27" s="137"/>
    </row>
    <row r="28" spans="2:8">
      <c r="B28" s="41">
        <v>4</v>
      </c>
      <c r="C28" s="42" t="s">
        <v>30</v>
      </c>
      <c r="D28" s="42"/>
      <c r="E28" s="42"/>
      <c r="F28" s="42"/>
      <c r="G28" s="42"/>
      <c r="H28" s="43"/>
    </row>
    <row r="29" spans="2:8" ht="25.5">
      <c r="B29" s="17">
        <v>4.0999999999999996</v>
      </c>
      <c r="C29" s="11" t="s">
        <v>31</v>
      </c>
      <c r="D29" s="54">
        <f>E29*G6</f>
        <v>245.29084437499998</v>
      </c>
      <c r="E29" s="54">
        <v>55.276809999999998</v>
      </c>
      <c r="F29" s="55">
        <f>D29*0.24</f>
        <v>58.86980264999999</v>
      </c>
      <c r="G29" s="55">
        <f>F29+D29</f>
        <v>304.16064702499995</v>
      </c>
      <c r="H29" s="55">
        <f>G29/$G$6</f>
        <v>68.543244399999992</v>
      </c>
    </row>
    <row r="30" spans="2:8">
      <c r="B30" s="18">
        <v>4.2</v>
      </c>
      <c r="C30" s="1" t="s">
        <v>32</v>
      </c>
      <c r="D30" s="54">
        <f>E30*G6</f>
        <v>0</v>
      </c>
      <c r="E30" s="54">
        <v>0</v>
      </c>
      <c r="F30" s="55">
        <f>D30*0.24</f>
        <v>0</v>
      </c>
      <c r="G30" s="55">
        <f>F30+D30</f>
        <v>0</v>
      </c>
      <c r="H30" s="55">
        <f>G30/$G$6</f>
        <v>0</v>
      </c>
    </row>
    <row r="31" spans="2:8">
      <c r="B31" s="18">
        <v>4.3</v>
      </c>
      <c r="C31" s="1" t="s">
        <v>33</v>
      </c>
      <c r="D31" s="54">
        <f>E31*G6</f>
        <v>57.468331874999997</v>
      </c>
      <c r="E31" s="54">
        <v>12.950609999999999</v>
      </c>
      <c r="F31" s="55">
        <f>D31*0.24</f>
        <v>13.792399649999998</v>
      </c>
      <c r="G31" s="55">
        <f>F31+D31</f>
        <v>71.260731524999997</v>
      </c>
      <c r="H31" s="55">
        <f>G31/$G$6</f>
        <v>16.0587564</v>
      </c>
    </row>
    <row r="32" spans="2:8">
      <c r="B32" s="19"/>
      <c r="C32" s="12" t="s">
        <v>34</v>
      </c>
      <c r="D32" s="54">
        <f>SUM(D29:D31)</f>
        <v>302.75917625</v>
      </c>
      <c r="E32" s="54">
        <f>SUM(E29:E31)</f>
        <v>68.227419999999995</v>
      </c>
      <c r="F32" s="54">
        <f>SUM(F29:F31)</f>
        <v>72.66220229999999</v>
      </c>
      <c r="G32" s="54">
        <f>SUM(G29:G31)</f>
        <v>375.42137854999993</v>
      </c>
      <c r="H32" s="54">
        <f>SUM(H29:H31)</f>
        <v>84.602000799999985</v>
      </c>
    </row>
    <row r="33" spans="2:8">
      <c r="B33" s="144" t="s">
        <v>35</v>
      </c>
      <c r="C33" s="145"/>
      <c r="D33" s="145"/>
      <c r="E33" s="145"/>
      <c r="F33" s="145"/>
      <c r="G33" s="145"/>
      <c r="H33" s="146"/>
    </row>
    <row r="34" spans="2:8">
      <c r="B34" s="147" t="s">
        <v>36</v>
      </c>
      <c r="C34" s="148"/>
      <c r="D34" s="148"/>
      <c r="E34" s="148"/>
      <c r="F34" s="148"/>
      <c r="G34" s="148"/>
      <c r="H34" s="149"/>
    </row>
    <row r="35" spans="2:8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8" ht="25.5">
      <c r="B36" s="21" t="s">
        <v>39</v>
      </c>
      <c r="C36" s="1" t="s">
        <v>40</v>
      </c>
      <c r="D36" s="50"/>
      <c r="E36" s="34"/>
      <c r="F36" s="35"/>
      <c r="G36" s="35"/>
      <c r="H36" s="35"/>
    </row>
    <row r="37" spans="2:8" ht="25.5">
      <c r="B37" s="20" t="s">
        <v>41</v>
      </c>
      <c r="C37" s="1" t="s">
        <v>42</v>
      </c>
      <c r="D37" s="34"/>
      <c r="E37" s="34"/>
      <c r="F37" s="35"/>
      <c r="G37" s="35"/>
      <c r="H37" s="35"/>
    </row>
    <row r="38" spans="2:8" ht="25.5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8" ht="25.5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8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8">
      <c r="B41" s="23"/>
      <c r="C41" s="24" t="s">
        <v>49</v>
      </c>
      <c r="D41" s="33"/>
      <c r="E41" s="33"/>
      <c r="F41" s="33"/>
      <c r="G41" s="33"/>
      <c r="H41" s="33"/>
    </row>
    <row r="42" spans="2:8">
      <c r="B42" s="150" t="s">
        <v>50</v>
      </c>
      <c r="C42" s="151"/>
      <c r="D42" s="151"/>
      <c r="E42" s="151"/>
      <c r="F42" s="151"/>
      <c r="G42" s="151"/>
      <c r="H42" s="152"/>
    </row>
    <row r="43" spans="2:8">
      <c r="B43" s="135" t="s">
        <v>51</v>
      </c>
      <c r="C43" s="136"/>
      <c r="D43" s="136"/>
      <c r="E43" s="136"/>
      <c r="F43" s="136"/>
      <c r="G43" s="136"/>
      <c r="H43" s="137"/>
    </row>
    <row r="44" spans="2:8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8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8">
      <c r="B46" s="10"/>
      <c r="C46" s="22" t="s">
        <v>54</v>
      </c>
      <c r="D46" s="36"/>
      <c r="E46" s="36"/>
      <c r="F46" s="36"/>
      <c r="G46" s="36"/>
      <c r="H46" s="36"/>
    </row>
    <row r="47" spans="2:8" ht="15">
      <c r="B47" s="47"/>
      <c r="C47" s="46" t="s">
        <v>55</v>
      </c>
      <c r="D47" s="49">
        <f>D46+D41+D32+D25+D20+D16</f>
        <v>344.48889374999999</v>
      </c>
      <c r="E47" s="49">
        <f>E16+E20+E25+E32+E41</f>
        <v>77.631299999999996</v>
      </c>
      <c r="F47" s="49">
        <f>F16+F20+F25+F32+F41</f>
        <v>73.540742099999989</v>
      </c>
      <c r="G47" s="49">
        <f>G16+G20+G25+G32+G41</f>
        <v>379.9605008499999</v>
      </c>
      <c r="H47" s="49">
        <f>H16+H20+H25+H32+H41</f>
        <v>85.624901599999987</v>
      </c>
    </row>
    <row r="48" spans="2:8" ht="15">
      <c r="B48" s="47"/>
      <c r="C48" s="46" t="s">
        <v>56</v>
      </c>
      <c r="D48" s="49">
        <f>D14+D15+D20+D30+D31+D29+D36</f>
        <v>302.75917625</v>
      </c>
      <c r="E48" s="49">
        <f>E14+E15+E20+E29+E30+E31+E36</f>
        <v>68.227419999999995</v>
      </c>
      <c r="F48" s="49">
        <f>F14+F15+F20+F29+F30+F31+F36</f>
        <v>72.66220229999999</v>
      </c>
      <c r="G48" s="49">
        <f>G14+G15+G20+G29+G30+G31+G36</f>
        <v>375.42137854999993</v>
      </c>
      <c r="H48" s="49">
        <f>H14+H15+H20+H29+H30+H31+H36</f>
        <v>84.602000799999985</v>
      </c>
    </row>
    <row r="57" spans="4:4">
      <c r="D57">
        <f>D47-D48</f>
        <v>41.729717499999992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A31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84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4.2696737499999999</v>
      </c>
      <c r="E23" s="118">
        <f>2*0.48109</f>
        <v>0.96218000000000004</v>
      </c>
      <c r="F23" s="119">
        <f>D23*0.24</f>
        <v>1.0247217</v>
      </c>
      <c r="G23" s="119">
        <f>F23+D23</f>
        <v>5.2943954499999997</v>
      </c>
      <c r="H23" s="119">
        <f>G23/$G$6</f>
        <v>1.1931031999999999</v>
      </c>
    </row>
    <row r="24" spans="2:8">
      <c r="B24" s="79">
        <v>3.2</v>
      </c>
      <c r="C24" s="80" t="s">
        <v>66</v>
      </c>
      <c r="D24" s="120">
        <f>E24*G6</f>
        <v>44.403399999999998</v>
      </c>
      <c r="E24" s="120">
        <v>10.006399999999999</v>
      </c>
      <c r="F24" s="119">
        <f>D24*0.24</f>
        <v>10.656815999999999</v>
      </c>
      <c r="G24" s="119">
        <f>F24+D24</f>
        <v>55.060215999999997</v>
      </c>
      <c r="H24" s="119">
        <f>G24/$G$6</f>
        <v>12.407935999999999</v>
      </c>
    </row>
    <row r="25" spans="2:8">
      <c r="B25" s="76"/>
      <c r="C25" s="77" t="s">
        <v>27</v>
      </c>
      <c r="D25" s="81">
        <f>SUM(D23:D24)</f>
        <v>48.67307375</v>
      </c>
      <c r="E25" s="81">
        <f>SUM(E23:E24)</f>
        <v>10.968579999999999</v>
      </c>
      <c r="F25" s="81">
        <f>SUM(F23:F23)</f>
        <v>1.0247217</v>
      </c>
      <c r="G25" s="81">
        <f>SUM(G23:G23)</f>
        <v>5.2943954499999997</v>
      </c>
      <c r="H25" s="81">
        <f>SUM(H23:H23)</f>
        <v>1.1931031999999999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1144.2864543749999</v>
      </c>
      <c r="E29" s="105">
        <v>257.86736999999999</v>
      </c>
      <c r="F29" s="119">
        <f>D29*0.24</f>
        <v>274.62874904999995</v>
      </c>
      <c r="G29" s="119">
        <f>F29+D29</f>
        <v>1418.9152034249998</v>
      </c>
      <c r="H29" s="119">
        <f>G29/$G$6</f>
        <v>319.75553879999995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46.735838749999999</v>
      </c>
      <c r="E31" s="105">
        <v>10.532019999999999</v>
      </c>
      <c r="F31" s="119">
        <f>D31*0.24</f>
        <v>11.216601299999999</v>
      </c>
      <c r="G31" s="119">
        <f>F31+D31</f>
        <v>57.95244005</v>
      </c>
      <c r="H31" s="119">
        <f>G31/$G$6</f>
        <v>13.0597048</v>
      </c>
    </row>
    <row r="32" spans="2:8">
      <c r="B32" s="85"/>
      <c r="C32" s="86" t="s">
        <v>34</v>
      </c>
      <c r="D32" s="105">
        <f>SUM(D29:D31)</f>
        <v>1191.022293125</v>
      </c>
      <c r="E32" s="105">
        <f>SUM(E29:E31)</f>
        <v>268.39938999999998</v>
      </c>
      <c r="F32" s="105">
        <f>SUM(F29:F31)</f>
        <v>285.84535034999993</v>
      </c>
      <c r="G32" s="105">
        <f>SUM(G29:G31)</f>
        <v>1476.8676434749998</v>
      </c>
      <c r="H32" s="105">
        <f>SUM(H29:H31)</f>
        <v>332.81524359999997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1239.695366875</v>
      </c>
      <c r="E47" s="103">
        <f>E16+E20+E25+E32+E41</f>
        <v>279.36796999999996</v>
      </c>
      <c r="F47" s="103">
        <f>F16+F20+F25+F32+F41</f>
        <v>286.87007204999992</v>
      </c>
      <c r="G47" s="103">
        <f>G16+G20+G25+G32+G41</f>
        <v>1482.1620389249997</v>
      </c>
      <c r="H47" s="103">
        <f>H16+H20+H25+H32+H41</f>
        <v>334.00834679999997</v>
      </c>
    </row>
    <row r="48" spans="2:8" ht="15">
      <c r="B48" s="101"/>
      <c r="C48" s="102" t="s">
        <v>56</v>
      </c>
      <c r="D48" s="103">
        <f>D14+D15+D20+D30+D31+D29+D36</f>
        <v>1191.022293125</v>
      </c>
      <c r="E48" s="103">
        <f>E14+E15+E20+E29+E30+E31+E36</f>
        <v>268.39938999999998</v>
      </c>
      <c r="F48" s="103">
        <f>F14+F15+F20+F29+F30+F31+F36</f>
        <v>285.84535034999993</v>
      </c>
      <c r="G48" s="103">
        <f>G14+G15+G20+G29+G30+G31+G36</f>
        <v>1476.8676434749998</v>
      </c>
      <c r="H48" s="103">
        <f>H14+H15+H20+H29+H30+H31+H36</f>
        <v>332.81524359999997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A34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6" customWidth="1"/>
    <col min="3" max="3" width="38.7109375" customWidth="1"/>
    <col min="4" max="4" width="9.5703125" bestFit="1" customWidth="1"/>
    <col min="5" max="6" width="8.42578125" customWidth="1"/>
    <col min="7" max="7" width="9.42578125" customWidth="1"/>
    <col min="12" max="13" width="12.85546875" bestFit="1" customWidth="1"/>
  </cols>
  <sheetData>
    <row r="1" spans="2:8">
      <c r="B1" s="14"/>
      <c r="C1" s="159" t="s">
        <v>69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0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8">
      <c r="B17" s="150" t="s">
        <v>18</v>
      </c>
      <c r="C17" s="151"/>
      <c r="D17" s="151"/>
      <c r="E17" s="151"/>
      <c r="F17" s="151"/>
      <c r="G17" s="151"/>
      <c r="H17" s="152"/>
    </row>
    <row r="18" spans="2:8">
      <c r="B18" s="135" t="s">
        <v>19</v>
      </c>
      <c r="C18" s="136"/>
      <c r="D18" s="136"/>
      <c r="E18" s="136"/>
      <c r="F18" s="136"/>
      <c r="G18" s="136"/>
      <c r="H18" s="137"/>
    </row>
    <row r="19" spans="2:8" ht="25.5">
      <c r="B19" s="17"/>
      <c r="C19" s="11" t="s">
        <v>20</v>
      </c>
      <c r="D19" s="29"/>
      <c r="E19" s="29"/>
      <c r="F19" s="30"/>
      <c r="G19" s="30"/>
      <c r="H19" s="30"/>
    </row>
    <row r="20" spans="2:8">
      <c r="B20" s="10"/>
      <c r="C20" s="13" t="s">
        <v>21</v>
      </c>
      <c r="D20" s="32"/>
      <c r="E20" s="32"/>
      <c r="F20" s="32"/>
      <c r="G20" s="32"/>
      <c r="H20" s="32"/>
    </row>
    <row r="21" spans="2:8">
      <c r="B21" s="150" t="s">
        <v>22</v>
      </c>
      <c r="C21" s="151"/>
      <c r="D21" s="151"/>
      <c r="E21" s="151"/>
      <c r="F21" s="151"/>
      <c r="G21" s="151"/>
      <c r="H21" s="152"/>
    </row>
    <row r="22" spans="2:8">
      <c r="B22" s="135" t="s">
        <v>23</v>
      </c>
      <c r="C22" s="136"/>
      <c r="D22" s="136"/>
      <c r="E22" s="136"/>
      <c r="F22" s="136"/>
      <c r="G22" s="136"/>
      <c r="H22" s="137"/>
    </row>
    <row r="23" spans="2:8">
      <c r="B23" s="17" t="s">
        <v>24</v>
      </c>
      <c r="C23" s="11" t="s">
        <v>25</v>
      </c>
      <c r="D23" s="57">
        <f>E23*G6</f>
        <v>5.7425687500000002</v>
      </c>
      <c r="E23" s="57">
        <f>0.64705*2</f>
        <v>1.2941</v>
      </c>
      <c r="F23" s="55">
        <f>D23*0.24</f>
        <v>1.3782165</v>
      </c>
      <c r="G23" s="55">
        <f>F23+D23</f>
        <v>7.12078525</v>
      </c>
      <c r="H23" s="55">
        <f>G23/$G$6</f>
        <v>1.604684</v>
      </c>
    </row>
    <row r="24" spans="2:8">
      <c r="B24" s="40">
        <v>3.2</v>
      </c>
      <c r="C24" s="56" t="s">
        <v>26</v>
      </c>
      <c r="D24" s="117">
        <f>E24*G6</f>
        <v>59.720052500000001</v>
      </c>
      <c r="E24" s="117">
        <v>13.45804</v>
      </c>
      <c r="F24" s="55">
        <f>D24*0.24</f>
        <v>14.3328126</v>
      </c>
      <c r="G24" s="55">
        <f>F24+D24</f>
        <v>74.052865100000005</v>
      </c>
      <c r="H24" s="55">
        <f>G24/$G$6</f>
        <v>16.687969600000002</v>
      </c>
    </row>
    <row r="25" spans="2:8">
      <c r="B25" s="10"/>
      <c r="C25" s="13" t="s">
        <v>27</v>
      </c>
      <c r="D25" s="48">
        <f>SUM(D23:D24)</f>
        <v>65.462621249999998</v>
      </c>
      <c r="E25" s="48">
        <f>SUM(E23:E24)</f>
        <v>14.752140000000001</v>
      </c>
      <c r="F25" s="48">
        <f>SUM(F23:F24)</f>
        <v>15.711029100000001</v>
      </c>
      <c r="G25" s="48">
        <f>SUM(G23:G24)</f>
        <v>81.173650350000003</v>
      </c>
      <c r="H25" s="48">
        <f>SUM(H23:H24)</f>
        <v>18.292653600000001</v>
      </c>
    </row>
    <row r="26" spans="2:8">
      <c r="B26" s="150" t="s">
        <v>28</v>
      </c>
      <c r="C26" s="151"/>
      <c r="D26" s="151"/>
      <c r="E26" s="151"/>
      <c r="F26" s="151"/>
      <c r="G26" s="151"/>
      <c r="H26" s="152"/>
    </row>
    <row r="27" spans="2:8">
      <c r="B27" s="135" t="s">
        <v>29</v>
      </c>
      <c r="C27" s="136"/>
      <c r="D27" s="136"/>
      <c r="E27" s="136"/>
      <c r="F27" s="136"/>
      <c r="G27" s="136"/>
      <c r="H27" s="137"/>
    </row>
    <row r="28" spans="2:8">
      <c r="B28" s="41">
        <v>4</v>
      </c>
      <c r="C28" s="42" t="s">
        <v>30</v>
      </c>
      <c r="D28" s="42"/>
      <c r="E28" s="42"/>
      <c r="F28" s="42"/>
      <c r="G28" s="42"/>
      <c r="H28" s="43"/>
    </row>
    <row r="29" spans="2:8" ht="25.5">
      <c r="B29" s="17">
        <v>4.0999999999999996</v>
      </c>
      <c r="C29" s="11" t="s">
        <v>31</v>
      </c>
      <c r="D29" s="54">
        <f>E29*G6</f>
        <v>1107.592589375</v>
      </c>
      <c r="E29" s="54">
        <v>249.59833</v>
      </c>
      <c r="F29" s="55">
        <f>D29*0.24</f>
        <v>265.82222144999997</v>
      </c>
      <c r="G29" s="55">
        <f>F29+D29</f>
        <v>1373.4148108249999</v>
      </c>
      <c r="H29" s="55">
        <f>G29/$G$6</f>
        <v>309.50192920000001</v>
      </c>
    </row>
    <row r="30" spans="2:8">
      <c r="B30" s="18">
        <v>4.2</v>
      </c>
      <c r="C30" s="1" t="s">
        <v>32</v>
      </c>
      <c r="D30" s="54">
        <f>E30*G6</f>
        <v>646.26179124999999</v>
      </c>
      <c r="E30" s="54">
        <v>145.63646</v>
      </c>
      <c r="F30" s="55">
        <f>D30*0.24</f>
        <v>155.10282989999999</v>
      </c>
      <c r="G30" s="55">
        <f>F30+D30</f>
        <v>801.36462114999995</v>
      </c>
      <c r="H30" s="55">
        <f>G30/$G$6</f>
        <v>180.58921039999998</v>
      </c>
    </row>
    <row r="31" spans="2:8">
      <c r="B31" s="18">
        <v>4.3</v>
      </c>
      <c r="C31" s="1" t="s">
        <v>33</v>
      </c>
      <c r="D31" s="54">
        <f>E31*G6</f>
        <v>0</v>
      </c>
      <c r="E31" s="54">
        <v>0</v>
      </c>
      <c r="F31" s="55">
        <f>D31*0.24</f>
        <v>0</v>
      </c>
      <c r="G31" s="55">
        <f>F31+D31</f>
        <v>0</v>
      </c>
      <c r="H31" s="55">
        <f>G31/$G$6</f>
        <v>0</v>
      </c>
    </row>
    <row r="32" spans="2:8">
      <c r="B32" s="19"/>
      <c r="C32" s="12" t="s">
        <v>34</v>
      </c>
      <c r="D32" s="54">
        <f>SUM(D29:D31)</f>
        <v>1753.854380625</v>
      </c>
      <c r="E32" s="54">
        <f>SUM(E29:E31)</f>
        <v>395.23478999999998</v>
      </c>
      <c r="F32" s="54">
        <f>SUM(F29:F31)</f>
        <v>420.92505134999999</v>
      </c>
      <c r="G32" s="54">
        <f>SUM(G29:G31)</f>
        <v>2174.7794319750001</v>
      </c>
      <c r="H32" s="54">
        <f>SUM(H29:H31)</f>
        <v>490.09113960000002</v>
      </c>
    </row>
    <row r="33" spans="2:8">
      <c r="B33" s="144" t="s">
        <v>35</v>
      </c>
      <c r="C33" s="145"/>
      <c r="D33" s="145"/>
      <c r="E33" s="145"/>
      <c r="F33" s="145"/>
      <c r="G33" s="145"/>
      <c r="H33" s="146"/>
    </row>
    <row r="34" spans="2:8">
      <c r="B34" s="147" t="s">
        <v>36</v>
      </c>
      <c r="C34" s="148"/>
      <c r="D34" s="148"/>
      <c r="E34" s="148"/>
      <c r="F34" s="148"/>
      <c r="G34" s="148"/>
      <c r="H34" s="149"/>
    </row>
    <row r="35" spans="2:8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8" ht="25.5">
      <c r="B36" s="21" t="s">
        <v>39</v>
      </c>
      <c r="C36" s="1" t="s">
        <v>40</v>
      </c>
      <c r="D36" s="50"/>
      <c r="E36" s="34"/>
      <c r="F36" s="35"/>
      <c r="G36" s="35"/>
      <c r="H36" s="35"/>
    </row>
    <row r="37" spans="2:8">
      <c r="B37" s="20" t="s">
        <v>41</v>
      </c>
      <c r="C37" s="1" t="s">
        <v>42</v>
      </c>
      <c r="D37" s="34"/>
      <c r="E37" s="34"/>
      <c r="F37" s="35"/>
      <c r="G37" s="35"/>
      <c r="H37" s="35"/>
    </row>
    <row r="38" spans="2:8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8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8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8">
      <c r="B41" s="23"/>
      <c r="C41" s="24" t="s">
        <v>49</v>
      </c>
      <c r="D41" s="33"/>
      <c r="E41" s="33"/>
      <c r="F41" s="33"/>
      <c r="G41" s="33"/>
      <c r="H41" s="33"/>
    </row>
    <row r="42" spans="2:8">
      <c r="B42" s="150" t="s">
        <v>50</v>
      </c>
      <c r="C42" s="151"/>
      <c r="D42" s="151"/>
      <c r="E42" s="151"/>
      <c r="F42" s="151"/>
      <c r="G42" s="151"/>
      <c r="H42" s="152"/>
    </row>
    <row r="43" spans="2:8">
      <c r="B43" s="135" t="s">
        <v>51</v>
      </c>
      <c r="C43" s="136"/>
      <c r="D43" s="136"/>
      <c r="E43" s="136"/>
      <c r="F43" s="136"/>
      <c r="G43" s="136"/>
      <c r="H43" s="137"/>
    </row>
    <row r="44" spans="2:8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8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8">
      <c r="B46" s="10"/>
      <c r="C46" s="22" t="s">
        <v>54</v>
      </c>
      <c r="D46" s="36"/>
      <c r="E46" s="36"/>
      <c r="F46" s="36"/>
      <c r="G46" s="36"/>
      <c r="H46" s="36"/>
    </row>
    <row r="47" spans="2:8" ht="15">
      <c r="B47" s="47"/>
      <c r="C47" s="46" t="s">
        <v>55</v>
      </c>
      <c r="D47" s="49">
        <f>D46+D41+D32+D25+D20+D16</f>
        <v>1819.317001875</v>
      </c>
      <c r="E47" s="49">
        <f>E16+E20+E25+E32+E41</f>
        <v>409.98692999999997</v>
      </c>
      <c r="F47" s="49">
        <f>F16+F20+F25+F32+F41</f>
        <v>436.63608045000001</v>
      </c>
      <c r="G47" s="49">
        <f>G16+G20+G25+G32+G41</f>
        <v>2255.9530823250002</v>
      </c>
      <c r="H47" s="49">
        <f>H16+H20+H25+H32+H41</f>
        <v>508.38379320000001</v>
      </c>
    </row>
    <row r="48" spans="2:8" ht="15">
      <c r="B48" s="47"/>
      <c r="C48" s="46" t="s">
        <v>56</v>
      </c>
      <c r="D48" s="49">
        <f>D14+D15+D20+D30+D31+D29+D36</f>
        <v>1753.854380625</v>
      </c>
      <c r="E48" s="49">
        <f>E14+E15+E20+E29+E30+E31+E36</f>
        <v>395.23478999999998</v>
      </c>
      <c r="F48" s="49">
        <f>F14+F15+F20+F29+F30+F31+F36</f>
        <v>420.92505134999999</v>
      </c>
      <c r="G48" s="49">
        <f>G14+G15+G20+G29+G30+G31+G36</f>
        <v>2174.7794319750001</v>
      </c>
      <c r="H48" s="49">
        <f>H14+H15+H20+H29+H30+H31+H36</f>
        <v>490.09113960000002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ColWidth="9.140625" defaultRowHeight="12.75"/>
  <cols>
    <col min="1" max="1" width="3.140625" customWidth="1"/>
    <col min="2" max="2" width="5.5703125" customWidth="1"/>
    <col min="3" max="3" width="38.5703125" customWidth="1"/>
    <col min="4" max="4" width="8.85546875" customWidth="1"/>
    <col min="5" max="5" width="8.140625" customWidth="1"/>
    <col min="6" max="6" width="8.5703125" customWidth="1"/>
    <col min="7" max="7" width="10.28515625" customWidth="1"/>
    <col min="8" max="8" width="10.85546875" customWidth="1"/>
    <col min="12" max="13" width="12.85546875" bestFit="1" customWidth="1"/>
  </cols>
  <sheetData>
    <row r="1" spans="2:8">
      <c r="B1" s="14"/>
      <c r="C1" s="159" t="s">
        <v>67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0.95" customHeight="1">
      <c r="B3" s="14"/>
      <c r="C3" s="160"/>
      <c r="D3" s="160"/>
      <c r="E3" s="160"/>
      <c r="F3" s="160"/>
      <c r="G3" s="160"/>
      <c r="H3" s="2"/>
    </row>
    <row r="4" spans="2:8" ht="18.95" customHeight="1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8">
      <c r="B17" s="150" t="s">
        <v>18</v>
      </c>
      <c r="C17" s="151"/>
      <c r="D17" s="151"/>
      <c r="E17" s="151"/>
      <c r="F17" s="151"/>
      <c r="G17" s="151"/>
      <c r="H17" s="152"/>
    </row>
    <row r="18" spans="2:8">
      <c r="B18" s="135" t="s">
        <v>19</v>
      </c>
      <c r="C18" s="136"/>
      <c r="D18" s="136"/>
      <c r="E18" s="136"/>
      <c r="F18" s="136"/>
      <c r="G18" s="136"/>
      <c r="H18" s="137"/>
    </row>
    <row r="19" spans="2:8" ht="25.5">
      <c r="B19" s="17"/>
      <c r="C19" s="11" t="s">
        <v>20</v>
      </c>
      <c r="D19" s="29"/>
      <c r="E19" s="29"/>
      <c r="F19" s="30"/>
      <c r="G19" s="30"/>
      <c r="H19" s="30"/>
    </row>
    <row r="20" spans="2:8">
      <c r="B20" s="10"/>
      <c r="C20" s="13" t="s">
        <v>21</v>
      </c>
      <c r="D20" s="32"/>
      <c r="E20" s="32"/>
      <c r="F20" s="32"/>
      <c r="G20" s="32"/>
      <c r="H20" s="32"/>
    </row>
    <row r="21" spans="2:8">
      <c r="B21" s="150" t="s">
        <v>22</v>
      </c>
      <c r="C21" s="151"/>
      <c r="D21" s="151"/>
      <c r="E21" s="151"/>
      <c r="F21" s="151"/>
      <c r="G21" s="151"/>
      <c r="H21" s="152"/>
    </row>
    <row r="22" spans="2:8">
      <c r="B22" s="135" t="s">
        <v>23</v>
      </c>
      <c r="C22" s="136"/>
      <c r="D22" s="136"/>
      <c r="E22" s="136"/>
      <c r="F22" s="136"/>
      <c r="G22" s="136"/>
      <c r="H22" s="137"/>
    </row>
    <row r="23" spans="2:8">
      <c r="B23" s="17" t="s">
        <v>24</v>
      </c>
      <c r="C23" s="11" t="s">
        <v>25</v>
      </c>
      <c r="D23" s="57">
        <f>E23*G6</f>
        <v>4.6407375000000002</v>
      </c>
      <c r="E23" s="57">
        <f>0.5229*2</f>
        <v>1.0458000000000001</v>
      </c>
      <c r="F23" s="55">
        <f>D23*0.24</f>
        <v>1.113777</v>
      </c>
      <c r="G23" s="55">
        <f>F23+D23</f>
        <v>5.7545145</v>
      </c>
      <c r="H23" s="55">
        <f>G23/$G$6</f>
        <v>1.2967919999999999</v>
      </c>
    </row>
    <row r="24" spans="2:8">
      <c r="B24" s="40" t="s">
        <v>62</v>
      </c>
      <c r="C24" s="56" t="s">
        <v>26</v>
      </c>
      <c r="D24" s="117">
        <f>E24*G6</f>
        <v>48.261761874999998</v>
      </c>
      <c r="E24" s="117">
        <v>10.87589</v>
      </c>
      <c r="F24" s="55">
        <f>D24*0.24</f>
        <v>11.582822849999999</v>
      </c>
      <c r="G24" s="55">
        <f>F24+D24</f>
        <v>59.844584724999997</v>
      </c>
      <c r="H24" s="55">
        <f>G24/$G$6</f>
        <v>13.4861036</v>
      </c>
    </row>
    <row r="25" spans="2:8">
      <c r="B25" s="10"/>
      <c r="C25" s="13" t="s">
        <v>27</v>
      </c>
      <c r="D25" s="48">
        <f>SUM(D23:D24)</f>
        <v>52.902499374999998</v>
      </c>
      <c r="E25" s="48">
        <f>SUM(E23:E24)</f>
        <v>11.92169</v>
      </c>
      <c r="F25" s="48">
        <f>SUM(F23:F24)</f>
        <v>12.69659985</v>
      </c>
      <c r="G25" s="48">
        <f>SUM(G23:G24)</f>
        <v>65.599099225000003</v>
      </c>
      <c r="H25" s="48">
        <f>SUM(H23:H24)</f>
        <v>14.7828956</v>
      </c>
    </row>
    <row r="26" spans="2:8">
      <c r="B26" s="150" t="s">
        <v>28</v>
      </c>
      <c r="C26" s="151"/>
      <c r="D26" s="151"/>
      <c r="E26" s="151"/>
      <c r="F26" s="151"/>
      <c r="G26" s="151"/>
      <c r="H26" s="152"/>
    </row>
    <row r="27" spans="2:8">
      <c r="B27" s="135" t="s">
        <v>29</v>
      </c>
      <c r="C27" s="136"/>
      <c r="D27" s="136"/>
      <c r="E27" s="136"/>
      <c r="F27" s="136"/>
      <c r="G27" s="136"/>
      <c r="H27" s="137"/>
    </row>
    <row r="28" spans="2:8">
      <c r="B28" s="41">
        <v>4</v>
      </c>
      <c r="C28" s="42" t="s">
        <v>30</v>
      </c>
      <c r="D28" s="42"/>
      <c r="E28" s="42"/>
      <c r="F28" s="42"/>
      <c r="G28" s="42"/>
      <c r="H28" s="43"/>
    </row>
    <row r="29" spans="2:8" ht="25.5">
      <c r="B29" s="17">
        <v>4.0999999999999996</v>
      </c>
      <c r="C29" s="11" t="s">
        <v>31</v>
      </c>
      <c r="D29" s="54">
        <f>E29*G6</f>
        <v>743.89415749999989</v>
      </c>
      <c r="E29" s="54">
        <v>167.63811999999999</v>
      </c>
      <c r="F29" s="55">
        <f>D29*0.24</f>
        <v>178.53459779999997</v>
      </c>
      <c r="G29" s="55">
        <f>F29+D29</f>
        <v>922.42875529999992</v>
      </c>
      <c r="H29" s="55">
        <f>G29/$G$6</f>
        <v>207.8712688</v>
      </c>
    </row>
    <row r="30" spans="2:8">
      <c r="B30" s="18">
        <v>4.2</v>
      </c>
      <c r="C30" s="1" t="s">
        <v>32</v>
      </c>
      <c r="D30" s="54">
        <f>E30*G6</f>
        <v>0</v>
      </c>
      <c r="E30" s="54">
        <v>0</v>
      </c>
      <c r="F30" s="55">
        <f>D30*0.24</f>
        <v>0</v>
      </c>
      <c r="G30" s="55">
        <f>F30+D30</f>
        <v>0</v>
      </c>
      <c r="H30" s="55">
        <f>G30/$G$6</f>
        <v>0</v>
      </c>
    </row>
    <row r="31" spans="2:8">
      <c r="B31" s="18">
        <v>4.3</v>
      </c>
      <c r="C31" s="1" t="s">
        <v>33</v>
      </c>
      <c r="D31" s="54">
        <f>E31*G6</f>
        <v>101.062065625</v>
      </c>
      <c r="E31" s="54">
        <v>22.774550000000001</v>
      </c>
      <c r="F31" s="55">
        <f>D31*0.24</f>
        <v>24.254895749999999</v>
      </c>
      <c r="G31" s="55">
        <f>F31+D31</f>
        <v>125.31696137500001</v>
      </c>
      <c r="H31" s="55">
        <f>G31/$G$6</f>
        <v>28.240442000000002</v>
      </c>
    </row>
    <row r="32" spans="2:8">
      <c r="B32" s="19"/>
      <c r="C32" s="12" t="s">
        <v>34</v>
      </c>
      <c r="D32" s="54">
        <f>SUM(D29:D31)</f>
        <v>844.95622312499995</v>
      </c>
      <c r="E32" s="54">
        <f>SUM(E29:E31)</f>
        <v>190.41266999999999</v>
      </c>
      <c r="F32" s="54">
        <f>SUM(F29:F31)</f>
        <v>202.78949354999997</v>
      </c>
      <c r="G32" s="54">
        <f>SUM(G29:G31)</f>
        <v>1047.745716675</v>
      </c>
      <c r="H32" s="54">
        <f>SUM(H29:H31)</f>
        <v>236.1117108</v>
      </c>
    </row>
    <row r="33" spans="2:8">
      <c r="B33" s="144" t="s">
        <v>35</v>
      </c>
      <c r="C33" s="145"/>
      <c r="D33" s="145"/>
      <c r="E33" s="145"/>
      <c r="F33" s="145"/>
      <c r="G33" s="145"/>
      <c r="H33" s="146"/>
    </row>
    <row r="34" spans="2:8">
      <c r="B34" s="147" t="s">
        <v>36</v>
      </c>
      <c r="C34" s="148"/>
      <c r="D34" s="148"/>
      <c r="E34" s="148"/>
      <c r="F34" s="148"/>
      <c r="G34" s="148"/>
      <c r="H34" s="149"/>
    </row>
    <row r="35" spans="2:8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8" ht="25.5">
      <c r="B36" s="21" t="s">
        <v>39</v>
      </c>
      <c r="C36" s="1" t="s">
        <v>40</v>
      </c>
      <c r="D36" s="50"/>
      <c r="E36" s="34"/>
      <c r="F36" s="35"/>
      <c r="G36" s="35"/>
      <c r="H36" s="35"/>
    </row>
    <row r="37" spans="2:8" ht="25.5">
      <c r="B37" s="20" t="s">
        <v>41</v>
      </c>
      <c r="C37" s="1" t="s">
        <v>42</v>
      </c>
      <c r="D37" s="34"/>
      <c r="E37" s="34"/>
      <c r="F37" s="35"/>
      <c r="G37" s="35"/>
      <c r="H37" s="35"/>
    </row>
    <row r="38" spans="2:8" ht="25.5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8" ht="25.5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8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8">
      <c r="B41" s="23"/>
      <c r="C41" s="24" t="s">
        <v>49</v>
      </c>
      <c r="D41" s="33"/>
      <c r="E41" s="33"/>
      <c r="F41" s="33"/>
      <c r="G41" s="33"/>
      <c r="H41" s="33"/>
    </row>
    <row r="42" spans="2:8">
      <c r="B42" s="150" t="s">
        <v>50</v>
      </c>
      <c r="C42" s="151"/>
      <c r="D42" s="151"/>
      <c r="E42" s="151"/>
      <c r="F42" s="151"/>
      <c r="G42" s="151"/>
      <c r="H42" s="152"/>
    </row>
    <row r="43" spans="2:8">
      <c r="B43" s="135" t="s">
        <v>51</v>
      </c>
      <c r="C43" s="136"/>
      <c r="D43" s="136"/>
      <c r="E43" s="136"/>
      <c r="F43" s="136"/>
      <c r="G43" s="136"/>
      <c r="H43" s="137"/>
    </row>
    <row r="44" spans="2:8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8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8">
      <c r="B46" s="10"/>
      <c r="C46" s="22" t="s">
        <v>54</v>
      </c>
      <c r="D46" s="36"/>
      <c r="E46" s="36"/>
      <c r="F46" s="36"/>
      <c r="G46" s="36"/>
      <c r="H46" s="36"/>
    </row>
    <row r="47" spans="2:8" ht="15">
      <c r="B47" s="47"/>
      <c r="C47" s="46" t="s">
        <v>55</v>
      </c>
      <c r="D47" s="49">
        <f>D46+D41+D32+D25+D20+D16</f>
        <v>897.8587225</v>
      </c>
      <c r="E47" s="49">
        <f>E16+E20+E25+E32+E41</f>
        <v>202.33436</v>
      </c>
      <c r="F47" s="49">
        <f>F16+F20+F25+F32+F41</f>
        <v>215.48609339999999</v>
      </c>
      <c r="G47" s="49">
        <f>G16+G20+G25+G32+G41</f>
        <v>1113.3448159</v>
      </c>
      <c r="H47" s="49">
        <f>H16+H20+H25+H32+H41</f>
        <v>250.89460639999999</v>
      </c>
    </row>
    <row r="48" spans="2:8" ht="15">
      <c r="B48" s="47"/>
      <c r="C48" s="46" t="s">
        <v>56</v>
      </c>
      <c r="D48" s="49">
        <f>D14+D15+D20+D30+D31+D29+D36</f>
        <v>844.95622312499995</v>
      </c>
      <c r="E48" s="49">
        <f>E14+E15+E20+E29+E30+E31+E36</f>
        <v>190.41266999999999</v>
      </c>
      <c r="F48" s="49">
        <f>F14+F15+F20+F29+F30+F31+F36</f>
        <v>202.78949354999997</v>
      </c>
      <c r="G48" s="49">
        <f>G14+G15+G20+G29+G30+G31+G36</f>
        <v>1047.745716675</v>
      </c>
      <c r="H48" s="49">
        <f>H14+H15+H20+H29+H30+H31+H36</f>
        <v>236.1117108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85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0.85484000000000004</v>
      </c>
      <c r="E23" s="118">
        <f>2*0.09632</f>
        <v>0.19264000000000001</v>
      </c>
      <c r="F23" s="119">
        <f>D23*0.24</f>
        <v>0.2051616</v>
      </c>
      <c r="G23" s="119">
        <f>F23+D23</f>
        <v>1.0600016000000001</v>
      </c>
      <c r="H23" s="119">
        <f>G23/$G$6</f>
        <v>0.23887360000000002</v>
      </c>
    </row>
    <row r="24" spans="2:8">
      <c r="B24" s="79">
        <v>3.2</v>
      </c>
      <c r="C24" s="80" t="s">
        <v>66</v>
      </c>
      <c r="D24" s="120">
        <f>E24*G6</f>
        <v>8.8903537500000009</v>
      </c>
      <c r="E24" s="120">
        <v>2.00346</v>
      </c>
      <c r="F24" s="119">
        <f>D24*0.24</f>
        <v>2.1336849</v>
      </c>
      <c r="G24" s="119">
        <f>F24+D24</f>
        <v>11.024038650000001</v>
      </c>
      <c r="H24" s="119">
        <f>G24/$G$6</f>
        <v>2.4842904000000003</v>
      </c>
    </row>
    <row r="25" spans="2:8">
      <c r="B25" s="76"/>
      <c r="C25" s="77" t="s">
        <v>27</v>
      </c>
      <c r="D25" s="81">
        <f>SUM(D23:D24)</f>
        <v>9.7451937500000003</v>
      </c>
      <c r="E25" s="81">
        <f>SUM(E23:E24)</f>
        <v>2.1960999999999999</v>
      </c>
      <c r="F25" s="81">
        <f>SUM(F23:F23)</f>
        <v>0.2051616</v>
      </c>
      <c r="G25" s="81">
        <f>SUM(G23:G23)</f>
        <v>1.0600016000000001</v>
      </c>
      <c r="H25" s="81">
        <f>SUM(H23:H23)</f>
        <v>0.23887360000000002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164.14552125</v>
      </c>
      <c r="E29" s="105">
        <v>36.990540000000003</v>
      </c>
      <c r="F29" s="119">
        <f>D29*0.24</f>
        <v>39.394925100000002</v>
      </c>
      <c r="G29" s="119">
        <f>F29+D29</f>
        <v>203.54044635</v>
      </c>
      <c r="H29" s="119">
        <f>G29/$G$6</f>
        <v>45.868269599999998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D31*0.24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164.14552125</v>
      </c>
      <c r="E32" s="105">
        <f>SUM(E29:E31)</f>
        <v>36.990540000000003</v>
      </c>
      <c r="F32" s="105">
        <f>SUM(F29:F31)</f>
        <v>39.394925100000002</v>
      </c>
      <c r="G32" s="105">
        <f>SUM(G29:G31)</f>
        <v>203.54044635</v>
      </c>
      <c r="H32" s="105">
        <f>SUM(H29:H31)</f>
        <v>45.868269599999998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173.890715</v>
      </c>
      <c r="E47" s="103">
        <f>E16+E20+E25+E32+E41</f>
        <v>39.186640000000004</v>
      </c>
      <c r="F47" s="103">
        <f>F16+F20+F25+F32+F41</f>
        <v>39.600086699999999</v>
      </c>
      <c r="G47" s="103">
        <f>G16+G20+G25+G32+G41</f>
        <v>204.60044794999999</v>
      </c>
      <c r="H47" s="103">
        <f>H16+H20+H25+H32+H41</f>
        <v>46.107143199999996</v>
      </c>
    </row>
    <row r="48" spans="2:8" ht="15">
      <c r="B48" s="101"/>
      <c r="C48" s="102" t="s">
        <v>56</v>
      </c>
      <c r="D48" s="103">
        <f>D14+D15+D20+D30+D31+D29+D36</f>
        <v>164.14552125</v>
      </c>
      <c r="E48" s="103">
        <f>E14+E15+E20+E29+E30+E31+E36</f>
        <v>36.990540000000003</v>
      </c>
      <c r="F48" s="103">
        <f>F14+F15+F20+F29+F30+F31+F36</f>
        <v>39.394925100000002</v>
      </c>
      <c r="G48" s="103">
        <f>G14+G15+G20+G29+G30+G31+G36</f>
        <v>203.54044635</v>
      </c>
      <c r="H48" s="103">
        <f>H14+H15+H20+H29+H30+H31+H36</f>
        <v>45.868269599999998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86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1.4819475</v>
      </c>
      <c r="E23" s="118">
        <f>2*0.16698</f>
        <v>0.33395999999999998</v>
      </c>
      <c r="F23" s="119">
        <f>D23*0.24</f>
        <v>0.35566739999999997</v>
      </c>
      <c r="G23" s="119">
        <f>F23+D23</f>
        <v>1.8376148999999999</v>
      </c>
      <c r="H23" s="119">
        <f>G23/$G$6</f>
        <v>0.41411039999999999</v>
      </c>
    </row>
    <row r="24" spans="2:8">
      <c r="B24" s="79">
        <v>3.2</v>
      </c>
      <c r="C24" s="80" t="s">
        <v>66</v>
      </c>
      <c r="D24" s="120">
        <f>E24*G6</f>
        <v>18.775506249999999</v>
      </c>
      <c r="E24" s="120">
        <v>4.2310999999999996</v>
      </c>
      <c r="F24" s="119">
        <f>D24*0.24</f>
        <v>4.5061214999999999</v>
      </c>
      <c r="G24" s="119">
        <f>F24+D24</f>
        <v>23.281627749999998</v>
      </c>
      <c r="H24" s="119">
        <f>G24/$G$6</f>
        <v>5.2465639999999993</v>
      </c>
    </row>
    <row r="25" spans="2:8">
      <c r="B25" s="76"/>
      <c r="C25" s="77" t="s">
        <v>27</v>
      </c>
      <c r="D25" s="81">
        <f>SUM(D23:D24)</f>
        <v>20.25745375</v>
      </c>
      <c r="E25" s="81">
        <f>SUM(E23:E24)</f>
        <v>4.5650599999999999</v>
      </c>
      <c r="F25" s="81">
        <f>SUM(F23:F23)</f>
        <v>0.35566739999999997</v>
      </c>
      <c r="G25" s="81">
        <f>SUM(G23:G23)</f>
        <v>1.8376148999999999</v>
      </c>
      <c r="H25" s="81">
        <f>SUM(H23:H23)</f>
        <v>0.41411039999999999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321.70410625</v>
      </c>
      <c r="E29" s="105">
        <v>72.496700000000004</v>
      </c>
      <c r="F29" s="119">
        <f>D29*0.24</f>
        <v>77.208985499999997</v>
      </c>
      <c r="G29" s="119">
        <f>F29+D29</f>
        <v>398.91309174999998</v>
      </c>
      <c r="H29" s="119">
        <f>G29/$G$6</f>
        <v>89.895907999999991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314.50736875000001</v>
      </c>
      <c r="E31" s="105">
        <v>70.874899999999997</v>
      </c>
      <c r="F31" s="119">
        <f>D31*0.24</f>
        <v>75.481768500000001</v>
      </c>
      <c r="G31" s="119">
        <f>F31+D31</f>
        <v>389.98913725</v>
      </c>
      <c r="H31" s="119">
        <f>G31/$G$6</f>
        <v>87.884876000000006</v>
      </c>
    </row>
    <row r="32" spans="2:8">
      <c r="B32" s="85"/>
      <c r="C32" s="86" t="s">
        <v>34</v>
      </c>
      <c r="D32" s="105">
        <f>SUM(D29:D31)</f>
        <v>636.21147500000006</v>
      </c>
      <c r="E32" s="105">
        <f>SUM(E29:E31)</f>
        <v>143.3716</v>
      </c>
      <c r="F32" s="105">
        <f>SUM(F29:F31)</f>
        <v>152.690754</v>
      </c>
      <c r="G32" s="105">
        <f>SUM(G29:G31)</f>
        <v>788.90222900000003</v>
      </c>
      <c r="H32" s="105">
        <f>SUM(H29:H31)</f>
        <v>177.78078399999998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656.46892875000003</v>
      </c>
      <c r="E47" s="103">
        <f>E16+E20+E25+E32+E41</f>
        <v>147.93665999999999</v>
      </c>
      <c r="F47" s="103">
        <f>F16+F20+F25+F32+F41</f>
        <v>153.04642139999999</v>
      </c>
      <c r="G47" s="103">
        <f>G16+G20+G25+G32+G41</f>
        <v>790.73984389999998</v>
      </c>
      <c r="H47" s="103">
        <f>H16+H20+H25+H32+H41</f>
        <v>178.19489439999998</v>
      </c>
    </row>
    <row r="48" spans="2:8" ht="15">
      <c r="B48" s="101"/>
      <c r="C48" s="102" t="s">
        <v>56</v>
      </c>
      <c r="D48" s="103">
        <f>D14+D15+D20+D30+D31+D29+D36</f>
        <v>636.21147500000006</v>
      </c>
      <c r="E48" s="103">
        <f>E14+E15+E20+E29+E30+E31+E36</f>
        <v>143.3716</v>
      </c>
      <c r="F48" s="103">
        <f>F14+F15+F20+F29+F30+F31+F36</f>
        <v>152.690754</v>
      </c>
      <c r="G48" s="103">
        <f>G14+G15+G20+G29+G30+G31+G36</f>
        <v>788.90222900000003</v>
      </c>
      <c r="H48" s="103">
        <f>H14+H15+H20+H29+H30+H31+H36</f>
        <v>177.78078399999998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87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4.8060787499999993</v>
      </c>
      <c r="E23" s="118">
        <f>2*0.54153</f>
        <v>1.0830599999999999</v>
      </c>
      <c r="F23" s="119">
        <f>D23*0.24</f>
        <v>1.1534588999999997</v>
      </c>
      <c r="G23" s="119">
        <f>F23+D23</f>
        <v>5.9595376499999988</v>
      </c>
      <c r="H23" s="119">
        <f>G23/$G$6</f>
        <v>1.3429943999999998</v>
      </c>
    </row>
    <row r="24" spans="2:8">
      <c r="B24" s="79">
        <v>3.2</v>
      </c>
      <c r="C24" s="80" t="s">
        <v>66</v>
      </c>
      <c r="D24" s="120">
        <f>E24*G6</f>
        <v>49.981248749999999</v>
      </c>
      <c r="E24" s="120">
        <v>11.26338</v>
      </c>
      <c r="F24" s="119">
        <f>D24*0.24</f>
        <v>11.9954997</v>
      </c>
      <c r="G24" s="119">
        <f>F24+D24</f>
        <v>61.976748450000002</v>
      </c>
      <c r="H24" s="119">
        <f>G24/$G$6</f>
        <v>13.9665912</v>
      </c>
    </row>
    <row r="25" spans="2:8">
      <c r="B25" s="76"/>
      <c r="C25" s="77" t="s">
        <v>27</v>
      </c>
      <c r="D25" s="81">
        <f>SUM(D23:D24)</f>
        <v>54.787327499999996</v>
      </c>
      <c r="E25" s="81">
        <f>SUM(E23:E24)</f>
        <v>12.346439999999999</v>
      </c>
      <c r="F25" s="81">
        <f>SUM(F23:F23)</f>
        <v>1.1534588999999997</v>
      </c>
      <c r="G25" s="81">
        <f>SUM(G23:G23)</f>
        <v>5.9595376499999988</v>
      </c>
      <c r="H25" s="81">
        <f>SUM(H23:H23)</f>
        <v>1.3429943999999998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0</v>
      </c>
      <c r="E29" s="105">
        <v>0</v>
      </c>
      <c r="F29" s="119">
        <f>D29*0.24</f>
        <v>0</v>
      </c>
      <c r="G29" s="119">
        <f>F29+D29</f>
        <v>0</v>
      </c>
      <c r="H29" s="119">
        <f>G29/$G$6</f>
        <v>0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212.81145062499999</v>
      </c>
      <c r="E31" s="105">
        <v>47.957509999999999</v>
      </c>
      <c r="F31" s="119">
        <f>D31*0.24</f>
        <v>51.074748149999998</v>
      </c>
      <c r="G31" s="119">
        <f>F31+D31</f>
        <v>263.88619877499997</v>
      </c>
      <c r="H31" s="119">
        <f>G31/$G$6</f>
        <v>59.46731239999999</v>
      </c>
    </row>
    <row r="32" spans="2:8">
      <c r="B32" s="85"/>
      <c r="C32" s="86" t="s">
        <v>34</v>
      </c>
      <c r="D32" s="105">
        <f>SUM(D29:D31)</f>
        <v>212.81145062499999</v>
      </c>
      <c r="E32" s="105">
        <f>SUM(E29:E31)</f>
        <v>47.957509999999999</v>
      </c>
      <c r="F32" s="105">
        <f>SUM(F29:F31)</f>
        <v>51.074748149999998</v>
      </c>
      <c r="G32" s="105">
        <f>SUM(G29:G31)</f>
        <v>263.88619877499997</v>
      </c>
      <c r="H32" s="105">
        <f>SUM(H29:H31)</f>
        <v>59.46731239999999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267.59877812499997</v>
      </c>
      <c r="E47" s="103">
        <f>E16+E20+E25+E32+E41</f>
        <v>60.30395</v>
      </c>
      <c r="F47" s="103">
        <f>F16+F20+F25+F32+F41</f>
        <v>52.228207049999995</v>
      </c>
      <c r="G47" s="103">
        <f>G16+G20+G25+G32+G41</f>
        <v>269.84573642499998</v>
      </c>
      <c r="H47" s="103">
        <f>H16+H20+H25+H32+H41</f>
        <v>60.810306799999992</v>
      </c>
    </row>
    <row r="48" spans="2:8" ht="15">
      <c r="B48" s="101"/>
      <c r="C48" s="102" t="s">
        <v>56</v>
      </c>
      <c r="D48" s="103">
        <f>D14+D15+D20+D30+D31+D29+D36</f>
        <v>212.81145062499999</v>
      </c>
      <c r="E48" s="103">
        <f>E14+E15+E20+E29+E30+E31+E36</f>
        <v>47.957509999999999</v>
      </c>
      <c r="F48" s="103">
        <f>F14+F15+F20+F29+F30+F31+F36</f>
        <v>51.074748149999998</v>
      </c>
      <c r="G48" s="103">
        <f>G14+G15+G20+G29+G30+G31+G36</f>
        <v>263.88619877499997</v>
      </c>
      <c r="H48" s="103">
        <f>H14+H15+H20+H29+H30+H31+H36</f>
        <v>59.46731239999999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88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2.3684712499999998</v>
      </c>
      <c r="E23" s="118">
        <f>2*0.26687</f>
        <v>0.53373999999999999</v>
      </c>
      <c r="F23" s="119">
        <f>D23*0.24</f>
        <v>0.56843309999999991</v>
      </c>
      <c r="G23" s="119">
        <f>F23+D23</f>
        <v>2.9369043499999998</v>
      </c>
      <c r="H23" s="119">
        <f>G23/$G$6</f>
        <v>0.66183759999999991</v>
      </c>
    </row>
    <row r="24" spans="2:8">
      <c r="B24" s="79">
        <v>3.2</v>
      </c>
      <c r="C24" s="80" t="s">
        <v>66</v>
      </c>
      <c r="D24" s="120">
        <f>E24*G6</f>
        <v>24.631186875000001</v>
      </c>
      <c r="E24" s="120">
        <v>5.5506900000000003</v>
      </c>
      <c r="F24" s="119">
        <f>D24*0.24</f>
        <v>5.9114848499999999</v>
      </c>
      <c r="G24" s="119">
        <f>F24+D24</f>
        <v>30.542671725000002</v>
      </c>
      <c r="H24" s="119">
        <f>G24/$G$6</f>
        <v>6.8828556000000001</v>
      </c>
    </row>
    <row r="25" spans="2:8">
      <c r="B25" s="76"/>
      <c r="C25" s="77" t="s">
        <v>27</v>
      </c>
      <c r="D25" s="81">
        <f>SUM(D23:D24)</f>
        <v>26.999658125</v>
      </c>
      <c r="E25" s="81">
        <f>SUM(E23:E24)</f>
        <v>6.0844300000000002</v>
      </c>
      <c r="F25" s="81">
        <f>SUM(F23:F23)</f>
        <v>0.56843309999999991</v>
      </c>
      <c r="G25" s="81">
        <f>SUM(G23:G23)</f>
        <v>2.9369043499999998</v>
      </c>
      <c r="H25" s="81">
        <f>SUM(H23:H23)</f>
        <v>0.66183759999999991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0</v>
      </c>
      <c r="E29" s="105">
        <v>0</v>
      </c>
      <c r="F29" s="119">
        <f>D29*0.24</f>
        <v>0</v>
      </c>
      <c r="G29" s="119">
        <f>F29+D29</f>
        <v>0</v>
      </c>
      <c r="H29" s="119">
        <f>G29/$G$6</f>
        <v>0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146.933745625</v>
      </c>
      <c r="E31" s="105">
        <v>33.111829999999998</v>
      </c>
      <c r="F31" s="119">
        <f>D31*0.24</f>
        <v>35.264098949999998</v>
      </c>
      <c r="G31" s="119">
        <f>F31+D31</f>
        <v>182.197844575</v>
      </c>
      <c r="H31" s="119">
        <f>G31/$G$6</f>
        <v>41.058669200000004</v>
      </c>
    </row>
    <row r="32" spans="2:8">
      <c r="B32" s="85"/>
      <c r="C32" s="86" t="s">
        <v>34</v>
      </c>
      <c r="D32" s="105">
        <f>SUM(D29:D31)</f>
        <v>146.933745625</v>
      </c>
      <c r="E32" s="105">
        <f>SUM(E29:E31)</f>
        <v>33.111829999999998</v>
      </c>
      <c r="F32" s="105">
        <f>SUM(F29:F31)</f>
        <v>35.264098949999998</v>
      </c>
      <c r="G32" s="105">
        <f>SUM(G29:G31)</f>
        <v>182.197844575</v>
      </c>
      <c r="H32" s="105">
        <f>SUM(H29:H31)</f>
        <v>41.058669200000004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173.93340375</v>
      </c>
      <c r="E47" s="103">
        <f>E16+E20+E25+E32+E41</f>
        <v>39.196259999999995</v>
      </c>
      <c r="F47" s="103">
        <f>F16+F20+F25+F32+F41</f>
        <v>35.832532049999998</v>
      </c>
      <c r="G47" s="103">
        <f>G16+G20+G25+G32+G41</f>
        <v>185.134748925</v>
      </c>
      <c r="H47" s="103">
        <f>H16+H20+H25+H32+H41</f>
        <v>41.720506800000003</v>
      </c>
    </row>
    <row r="48" spans="2:8" ht="15">
      <c r="B48" s="101"/>
      <c r="C48" s="102" t="s">
        <v>56</v>
      </c>
      <c r="D48" s="103">
        <f>D14+D15+D20+D30+D31+D29+D36</f>
        <v>146.933745625</v>
      </c>
      <c r="E48" s="103">
        <f>E14+E15+E20+E29+E30+E31+E36</f>
        <v>33.111829999999998</v>
      </c>
      <c r="F48" s="103">
        <f>F14+F15+F20+F29+F30+F31+F36</f>
        <v>35.264098949999998</v>
      </c>
      <c r="G48" s="103">
        <f>G14+G15+G20+G29+G30+G31+G36</f>
        <v>182.197844575</v>
      </c>
      <c r="H48" s="103">
        <f>H14+H15+H20+H29+H30+H31+H36</f>
        <v>41.058669200000004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B1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6" customWidth="1"/>
    <col min="3" max="3" width="38.85546875" customWidth="1"/>
    <col min="4" max="4" width="9.5703125" customWidth="1"/>
    <col min="5" max="5" width="8.42578125" customWidth="1"/>
    <col min="6" max="6" width="9.28515625" customWidth="1"/>
    <col min="7" max="7" width="9.5703125" customWidth="1"/>
    <col min="8" max="8" width="8.7109375" customWidth="1"/>
    <col min="12" max="12" width="13.42578125" bestFit="1" customWidth="1"/>
  </cols>
  <sheetData>
    <row r="1" spans="2:8">
      <c r="B1" s="14"/>
      <c r="C1" s="159" t="s">
        <v>68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0.95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 t="s">
        <v>61</v>
      </c>
      <c r="G5" s="26"/>
      <c r="H5" s="2"/>
    </row>
    <row r="6" spans="2:8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8">
      <c r="B17" s="150" t="s">
        <v>18</v>
      </c>
      <c r="C17" s="151"/>
      <c r="D17" s="151"/>
      <c r="E17" s="151"/>
      <c r="F17" s="151"/>
      <c r="G17" s="151"/>
      <c r="H17" s="152"/>
    </row>
    <row r="18" spans="2:8">
      <c r="B18" s="135" t="s">
        <v>19</v>
      </c>
      <c r="C18" s="136"/>
      <c r="D18" s="136"/>
      <c r="E18" s="136"/>
      <c r="F18" s="136"/>
      <c r="G18" s="136"/>
      <c r="H18" s="137"/>
    </row>
    <row r="19" spans="2:8" ht="25.5">
      <c r="B19" s="17"/>
      <c r="C19" s="11" t="s">
        <v>20</v>
      </c>
      <c r="D19" s="29"/>
      <c r="E19" s="29"/>
      <c r="F19" s="30"/>
      <c r="G19" s="30"/>
      <c r="H19" s="30"/>
    </row>
    <row r="20" spans="2:8">
      <c r="B20" s="10"/>
      <c r="C20" s="13" t="s">
        <v>21</v>
      </c>
      <c r="D20" s="32"/>
      <c r="E20" s="32"/>
      <c r="F20" s="32"/>
      <c r="G20" s="32"/>
      <c r="H20" s="32"/>
    </row>
    <row r="21" spans="2:8">
      <c r="B21" s="150" t="s">
        <v>22</v>
      </c>
      <c r="C21" s="151"/>
      <c r="D21" s="151"/>
      <c r="E21" s="151"/>
      <c r="F21" s="151"/>
      <c r="G21" s="151"/>
      <c r="H21" s="152"/>
    </row>
    <row r="22" spans="2:8">
      <c r="B22" s="135" t="s">
        <v>23</v>
      </c>
      <c r="C22" s="136"/>
      <c r="D22" s="136"/>
      <c r="E22" s="136"/>
      <c r="F22" s="136"/>
      <c r="G22" s="136"/>
      <c r="H22" s="137"/>
    </row>
    <row r="23" spans="2:8">
      <c r="B23" s="17" t="s">
        <v>24</v>
      </c>
      <c r="C23" s="11" t="s">
        <v>25</v>
      </c>
      <c r="D23" s="57">
        <f>E23*G6</f>
        <v>1.5574737499999998</v>
      </c>
      <c r="E23" s="57">
        <f>0.08249*2+0.186</f>
        <v>0.35097999999999996</v>
      </c>
      <c r="F23" s="55">
        <f>D23*0.24</f>
        <v>0.37379369999999995</v>
      </c>
      <c r="G23" s="55">
        <f>F23+D23</f>
        <v>1.9312674499999998</v>
      </c>
      <c r="H23" s="55">
        <f>G23/$G$6</f>
        <v>0.43521519999999997</v>
      </c>
    </row>
    <row r="24" spans="2:8">
      <c r="B24" s="40" t="s">
        <v>62</v>
      </c>
      <c r="C24" s="56" t="s">
        <v>26</v>
      </c>
      <c r="D24" s="117">
        <f>E24*G6</f>
        <v>16.18382875</v>
      </c>
      <c r="E24" s="117">
        <v>3.6470600000000002</v>
      </c>
      <c r="F24" s="55">
        <f>D24*0.24</f>
        <v>3.8841188999999998</v>
      </c>
      <c r="G24" s="55">
        <f>F24+D24</f>
        <v>20.067947650000001</v>
      </c>
      <c r="H24" s="55">
        <f>G24/$G$6</f>
        <v>4.5223544000000002</v>
      </c>
    </row>
    <row r="25" spans="2:8">
      <c r="B25" s="10"/>
      <c r="C25" s="13" t="s">
        <v>27</v>
      </c>
      <c r="D25" s="48">
        <f>SUM(D23:D24)</f>
        <v>17.7413025</v>
      </c>
      <c r="E25" s="48">
        <f>SUM(E23:E24)</f>
        <v>3.99804</v>
      </c>
      <c r="F25" s="48">
        <f>SUM(F23:F24)</f>
        <v>4.2579126</v>
      </c>
      <c r="G25" s="48">
        <f>SUM(G23:G24)</f>
        <v>21.999215100000001</v>
      </c>
      <c r="H25" s="48">
        <f>SUM(H23:H24)</f>
        <v>4.9575696000000002</v>
      </c>
    </row>
    <row r="26" spans="2:8">
      <c r="B26" s="150" t="s">
        <v>28</v>
      </c>
      <c r="C26" s="151"/>
      <c r="D26" s="151"/>
      <c r="E26" s="151"/>
      <c r="F26" s="151"/>
      <c r="G26" s="151"/>
      <c r="H26" s="152"/>
    </row>
    <row r="27" spans="2:8">
      <c r="B27" s="135" t="s">
        <v>29</v>
      </c>
      <c r="C27" s="136"/>
      <c r="D27" s="136"/>
      <c r="E27" s="136"/>
      <c r="F27" s="136"/>
      <c r="G27" s="136"/>
      <c r="H27" s="137"/>
    </row>
    <row r="28" spans="2:8">
      <c r="B28" s="41">
        <v>4</v>
      </c>
      <c r="C28" s="42" t="s">
        <v>30</v>
      </c>
      <c r="D28" s="42"/>
      <c r="E28" s="42"/>
      <c r="F28" s="42"/>
      <c r="G28" s="42"/>
      <c r="H28" s="43"/>
    </row>
    <row r="29" spans="2:8" ht="25.5">
      <c r="B29" s="17">
        <v>4.0999999999999996</v>
      </c>
      <c r="C29" s="11" t="s">
        <v>31</v>
      </c>
      <c r="D29" s="54">
        <f>E29*G6</f>
        <v>485.878249375</v>
      </c>
      <c r="E29" s="54">
        <v>109.49369</v>
      </c>
      <c r="F29" s="55">
        <f>D29*0.24</f>
        <v>116.61077985</v>
      </c>
      <c r="G29" s="55">
        <f>F29+D29</f>
        <v>602.48902922499997</v>
      </c>
      <c r="H29" s="55">
        <f>G29/$G$6</f>
        <v>135.7721756</v>
      </c>
    </row>
    <row r="30" spans="2:8">
      <c r="B30" s="18">
        <v>4.2</v>
      </c>
      <c r="C30" s="1" t="s">
        <v>32</v>
      </c>
      <c r="D30" s="54">
        <f>E30*G6</f>
        <v>0</v>
      </c>
      <c r="E30" s="54">
        <v>0</v>
      </c>
      <c r="F30" s="55">
        <f>D30*0.24</f>
        <v>0</v>
      </c>
      <c r="G30" s="55">
        <f>F30+D30</f>
        <v>0</v>
      </c>
      <c r="H30" s="55">
        <f>G30/$G$6</f>
        <v>0</v>
      </c>
    </row>
    <row r="31" spans="2:8">
      <c r="B31" s="18">
        <v>4.3</v>
      </c>
      <c r="C31" s="1" t="s">
        <v>33</v>
      </c>
      <c r="D31" s="54">
        <f>E31*G6</f>
        <v>0</v>
      </c>
      <c r="E31" s="54">
        <v>0</v>
      </c>
      <c r="F31" s="55">
        <f>D31*0.24</f>
        <v>0</v>
      </c>
      <c r="G31" s="55">
        <f>F31+D31</f>
        <v>0</v>
      </c>
      <c r="H31" s="55">
        <f>G31/$G$6</f>
        <v>0</v>
      </c>
    </row>
    <row r="32" spans="2:8">
      <c r="B32" s="19"/>
      <c r="C32" s="12" t="s">
        <v>34</v>
      </c>
      <c r="D32" s="54">
        <f>SUM(D29:D31)</f>
        <v>485.878249375</v>
      </c>
      <c r="E32" s="54">
        <f>SUM(E29:E31)</f>
        <v>109.49369</v>
      </c>
      <c r="F32" s="54">
        <f>SUM(F29:F31)</f>
        <v>116.61077985</v>
      </c>
      <c r="G32" s="54">
        <f>SUM(G29:G31)</f>
        <v>602.48902922499997</v>
      </c>
      <c r="H32" s="54">
        <f>SUM(H29:H31)</f>
        <v>135.7721756</v>
      </c>
    </row>
    <row r="33" spans="2:8">
      <c r="B33" s="144" t="s">
        <v>35</v>
      </c>
      <c r="C33" s="145"/>
      <c r="D33" s="145"/>
      <c r="E33" s="145"/>
      <c r="F33" s="145"/>
      <c r="G33" s="145"/>
      <c r="H33" s="146"/>
    </row>
    <row r="34" spans="2:8">
      <c r="B34" s="147" t="s">
        <v>36</v>
      </c>
      <c r="C34" s="148"/>
      <c r="D34" s="148"/>
      <c r="E34" s="148"/>
      <c r="F34" s="148"/>
      <c r="G34" s="148"/>
      <c r="H34" s="149"/>
    </row>
    <row r="35" spans="2:8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8" ht="25.5">
      <c r="B36" s="21" t="s">
        <v>39</v>
      </c>
      <c r="C36" s="1" t="s">
        <v>40</v>
      </c>
      <c r="D36" s="50"/>
      <c r="E36" s="34"/>
      <c r="F36" s="35"/>
      <c r="G36" s="35"/>
      <c r="H36" s="35"/>
    </row>
    <row r="37" spans="2:8">
      <c r="B37" s="20" t="s">
        <v>41</v>
      </c>
      <c r="C37" s="1" t="s">
        <v>42</v>
      </c>
      <c r="D37" s="34"/>
      <c r="E37" s="34"/>
      <c r="F37" s="35"/>
      <c r="G37" s="35"/>
      <c r="H37" s="35"/>
    </row>
    <row r="38" spans="2:8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8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8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8">
      <c r="B41" s="23"/>
      <c r="C41" s="24" t="s">
        <v>49</v>
      </c>
      <c r="D41" s="33"/>
      <c r="E41" s="33"/>
      <c r="F41" s="33"/>
      <c r="G41" s="33"/>
      <c r="H41" s="33"/>
    </row>
    <row r="42" spans="2:8">
      <c r="B42" s="150" t="s">
        <v>50</v>
      </c>
      <c r="C42" s="151"/>
      <c r="D42" s="151"/>
      <c r="E42" s="151"/>
      <c r="F42" s="151"/>
      <c r="G42" s="151"/>
      <c r="H42" s="152"/>
    </row>
    <row r="43" spans="2:8">
      <c r="B43" s="135" t="s">
        <v>51</v>
      </c>
      <c r="C43" s="136"/>
      <c r="D43" s="136"/>
      <c r="E43" s="136"/>
      <c r="F43" s="136"/>
      <c r="G43" s="136"/>
      <c r="H43" s="137"/>
    </row>
    <row r="44" spans="2:8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8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8">
      <c r="B46" s="10"/>
      <c r="C46" s="22" t="s">
        <v>54</v>
      </c>
      <c r="D46" s="36"/>
      <c r="E46" s="36"/>
      <c r="F46" s="36"/>
      <c r="G46" s="36"/>
      <c r="H46" s="36"/>
    </row>
    <row r="47" spans="2:8" ht="15">
      <c r="B47" s="47"/>
      <c r="C47" s="46" t="s">
        <v>55</v>
      </c>
      <c r="D47" s="49">
        <f>D46+D41+D32+D25+D20+D16</f>
        <v>503.61955187500001</v>
      </c>
      <c r="E47" s="49">
        <f>E16+E20+E25+E32+E41</f>
        <v>113.49173</v>
      </c>
      <c r="F47" s="49">
        <f>F16+F20+F25+F32+F41</f>
        <v>120.86869245</v>
      </c>
      <c r="G47" s="49">
        <f>G16+G20+G25+G32+G41</f>
        <v>624.48824432499998</v>
      </c>
      <c r="H47" s="49">
        <f>H16+H20+H25+H32+H41</f>
        <v>140.7297452</v>
      </c>
    </row>
    <row r="48" spans="2:8" ht="15">
      <c r="B48" s="47"/>
      <c r="C48" s="46" t="s">
        <v>56</v>
      </c>
      <c r="D48" s="49">
        <f>D14+D15+D20+D30+D31+D29+D36</f>
        <v>485.878249375</v>
      </c>
      <c r="E48" s="49">
        <f>E14+E15+E20+E29+E30+E31+E36</f>
        <v>109.49369</v>
      </c>
      <c r="F48" s="49">
        <f>F14+F15+F20+F29+F30+F31+F36</f>
        <v>116.61077985</v>
      </c>
      <c r="G48" s="49">
        <f>G14+G15+G20+G29+G30+G31+G36</f>
        <v>602.48902922499997</v>
      </c>
      <c r="H48" s="49">
        <f>H14+H15+H20+H29+H30+H31+H36</f>
        <v>135.7721756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75" right="0.75" top="1" bottom="1" header="0.51111111111111107" footer="0.51111111111111107"/>
  <pageSetup paperSize="9" scale="93" firstPageNumber="42949631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A25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8.425781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80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13.3112575</v>
      </c>
      <c r="E23" s="118">
        <f>1.49986*2</f>
        <v>2.9997199999999999</v>
      </c>
      <c r="F23" s="119">
        <f>D23*0.24</f>
        <v>3.1947017999999998</v>
      </c>
      <c r="G23" s="119">
        <f>F23+D23</f>
        <v>16.505959300000001</v>
      </c>
      <c r="H23" s="119">
        <f>G23/$G$6</f>
        <v>3.7196528</v>
      </c>
    </row>
    <row r="24" spans="2:8">
      <c r="B24" s="79">
        <v>3.2</v>
      </c>
      <c r="C24" s="80" t="s">
        <v>66</v>
      </c>
      <c r="D24" s="120">
        <f>E24*G6</f>
        <v>138.43313750000002</v>
      </c>
      <c r="E24" s="120">
        <v>31.196200000000001</v>
      </c>
      <c r="F24" s="119">
        <f>D24*0.24</f>
        <v>33.223953000000002</v>
      </c>
      <c r="G24" s="119">
        <f>F24+D24</f>
        <v>171.65709050000001</v>
      </c>
      <c r="H24" s="119">
        <f>G24/$G$6</f>
        <v>38.683288000000005</v>
      </c>
    </row>
    <row r="25" spans="2:8">
      <c r="B25" s="76"/>
      <c r="C25" s="77" t="s">
        <v>27</v>
      </c>
      <c r="D25" s="81">
        <f>SUM(D23:D24)</f>
        <v>151.74439500000003</v>
      </c>
      <c r="E25" s="81">
        <f>SUM(E23:E24)</f>
        <v>34.195920000000001</v>
      </c>
      <c r="F25" s="81">
        <f>SUM(F23:F23)</f>
        <v>3.1947017999999998</v>
      </c>
      <c r="G25" s="81">
        <f>SUM(G23:G23)</f>
        <v>16.505959300000001</v>
      </c>
      <c r="H25" s="81">
        <f>SUM(H23:H23)</f>
        <v>3.7196528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70" t="s">
        <v>31</v>
      </c>
      <c r="D29" s="105">
        <f>E29*G6</f>
        <v>1322.4105</v>
      </c>
      <c r="E29" s="105">
        <v>298.00799999999998</v>
      </c>
      <c r="F29" s="119">
        <f>D29*0.24</f>
        <v>317.37851999999998</v>
      </c>
      <c r="G29" s="119">
        <f>F29+D29</f>
        <v>1639.7890199999999</v>
      </c>
      <c r="H29" s="119">
        <f>G29/$G$6</f>
        <v>369.52992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352.24688625000005</v>
      </c>
      <c r="E31" s="105">
        <v>79.379580000000004</v>
      </c>
      <c r="F31" s="119">
        <f>D31*0.24</f>
        <v>84.539252700000006</v>
      </c>
      <c r="G31" s="119">
        <f>F31+D31</f>
        <v>436.78613895000007</v>
      </c>
      <c r="H31" s="119">
        <f>G31/$G$6</f>
        <v>98.430679200000014</v>
      </c>
    </row>
    <row r="32" spans="2:8">
      <c r="B32" s="85"/>
      <c r="C32" s="86" t="s">
        <v>34</v>
      </c>
      <c r="D32" s="105">
        <f>SUM(D29:D31)</f>
        <v>1674.6573862499999</v>
      </c>
      <c r="E32" s="105">
        <f>SUM(E29:E31)</f>
        <v>377.38757999999996</v>
      </c>
      <c r="F32" s="105">
        <f>SUM(F29:F31)</f>
        <v>401.9177727</v>
      </c>
      <c r="G32" s="105">
        <f>SUM(G29:G31)</f>
        <v>2076.5751589500001</v>
      </c>
      <c r="H32" s="105">
        <f>SUM(H29:H31)</f>
        <v>467.96059920000005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1826.4017812499999</v>
      </c>
      <c r="E47" s="103">
        <f>E16+E20+E25+E32+E41</f>
        <v>411.58349999999996</v>
      </c>
      <c r="F47" s="103">
        <f>F16+F20+F25+F32+F41</f>
        <v>405.11247450000002</v>
      </c>
      <c r="G47" s="103">
        <f>G16+G20+G25+G32+G41</f>
        <v>2093.0811182500001</v>
      </c>
      <c r="H47" s="103">
        <f>H16+H20+H25+H32+H41</f>
        <v>471.68025200000005</v>
      </c>
    </row>
    <row r="48" spans="2:8" ht="15">
      <c r="B48" s="101"/>
      <c r="C48" s="102" t="s">
        <v>56</v>
      </c>
      <c r="D48" s="103">
        <f>D14+D15+D20+D30+D31+D29+D36</f>
        <v>1674.6573862499999</v>
      </c>
      <c r="E48" s="103">
        <f>E14+E15+E20+E29+E30+E31+E36</f>
        <v>377.38757999999996</v>
      </c>
      <c r="F48" s="103">
        <f>F14+F15+F20+F29+F30+F31+F36</f>
        <v>401.9177727</v>
      </c>
      <c r="G48" s="103">
        <f>G14+G15+G20+G29+G30+G31+G36</f>
        <v>2076.5751589500001</v>
      </c>
      <c r="H48" s="103">
        <f>H14+H15+H20+H29+H30+H31+H36</f>
        <v>467.96059920000005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89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2.0706262500000001</v>
      </c>
      <c r="E23" s="118">
        <f>2*0.23331</f>
        <v>0.46661999999999998</v>
      </c>
      <c r="F23" s="119">
        <f>D23*0.24</f>
        <v>0.49695030000000001</v>
      </c>
      <c r="G23" s="119">
        <f>F23+D23</f>
        <v>2.5675765500000001</v>
      </c>
      <c r="H23" s="119">
        <f>G23/$G$6</f>
        <v>0.57860880000000003</v>
      </c>
    </row>
    <row r="24" spans="2:8">
      <c r="B24" s="79">
        <v>3.2</v>
      </c>
      <c r="C24" s="80" t="s">
        <v>66</v>
      </c>
      <c r="D24" s="120">
        <f>E24*G6</f>
        <v>21.534255625</v>
      </c>
      <c r="E24" s="120">
        <v>4.8527899999999997</v>
      </c>
      <c r="F24" s="119">
        <f>D24*0.24</f>
        <v>5.1682213499999996</v>
      </c>
      <c r="G24" s="119">
        <f>F24+D24</f>
        <v>26.702476975</v>
      </c>
      <c r="H24" s="119">
        <f>G24/$G$6</f>
        <v>6.0174595999999996</v>
      </c>
    </row>
    <row r="25" spans="2:8">
      <c r="B25" s="76"/>
      <c r="C25" s="77" t="s">
        <v>27</v>
      </c>
      <c r="D25" s="81">
        <f>SUM(D23:D24)</f>
        <v>23.604881875</v>
      </c>
      <c r="E25" s="81">
        <f>SUM(E23:E24)</f>
        <v>5.3194099999999995</v>
      </c>
      <c r="F25" s="81">
        <f>SUM(F23:F23)</f>
        <v>0.49695030000000001</v>
      </c>
      <c r="G25" s="81">
        <f>SUM(G23:G23)</f>
        <v>2.5675765500000001</v>
      </c>
      <c r="H25" s="81">
        <f>SUM(H23:H23)</f>
        <v>0.57860880000000003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0</v>
      </c>
      <c r="E29" s="105">
        <v>0</v>
      </c>
      <c r="F29" s="119">
        <f>D29*0.24</f>
        <v>0</v>
      </c>
      <c r="G29" s="119">
        <f>F29+D29</f>
        <v>0</v>
      </c>
      <c r="H29" s="119">
        <f>G29/$G$6</f>
        <v>0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97.184622499999989</v>
      </c>
      <c r="E31" s="105">
        <v>21.900759999999998</v>
      </c>
      <c r="F31" s="119">
        <f>D31*0.24</f>
        <v>23.324309399999997</v>
      </c>
      <c r="G31" s="119">
        <f>F31+D31</f>
        <v>120.50893189999999</v>
      </c>
      <c r="H31" s="119">
        <f>G31/$G$6</f>
        <v>27.156942399999998</v>
      </c>
    </row>
    <row r="32" spans="2:8">
      <c r="B32" s="85"/>
      <c r="C32" s="86" t="s">
        <v>34</v>
      </c>
      <c r="D32" s="105">
        <f>SUM(D29:D31)</f>
        <v>97.184622499999989</v>
      </c>
      <c r="E32" s="105">
        <f>SUM(E29:E31)</f>
        <v>21.900759999999998</v>
      </c>
      <c r="F32" s="105">
        <f>SUM(F29:F31)</f>
        <v>23.324309399999997</v>
      </c>
      <c r="G32" s="105">
        <f>SUM(G29:G31)</f>
        <v>120.50893189999999</v>
      </c>
      <c r="H32" s="105">
        <f>SUM(H29:H31)</f>
        <v>27.156942399999998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120.78950437499999</v>
      </c>
      <c r="E47" s="103">
        <f>E16+E20+E25+E32+E41</f>
        <v>27.220169999999996</v>
      </c>
      <c r="F47" s="103">
        <f>F16+F20+F25+F32+F41</f>
        <v>23.821259699999999</v>
      </c>
      <c r="G47" s="103">
        <f>G16+G20+G25+G32+G41</f>
        <v>123.07650844999999</v>
      </c>
      <c r="H47" s="103">
        <f>H16+H20+H25+H32+H41</f>
        <v>27.7355512</v>
      </c>
    </row>
    <row r="48" spans="2:8" ht="15">
      <c r="B48" s="101"/>
      <c r="C48" s="102" t="s">
        <v>56</v>
      </c>
      <c r="D48" s="103">
        <f>D14+D15+D20+D30+D31+D29+D36</f>
        <v>97.184622499999989</v>
      </c>
      <c r="E48" s="103">
        <f>E14+E15+E20+E29+E30+E31+E36</f>
        <v>21.900759999999998</v>
      </c>
      <c r="F48" s="103">
        <f>F14+F15+F20+F29+F30+F31+F36</f>
        <v>23.324309399999997</v>
      </c>
      <c r="G48" s="103">
        <f>G14+G15+G20+G29+G30+G31+G36</f>
        <v>120.50893189999999</v>
      </c>
      <c r="H48" s="103">
        <f>H14+H15+H20+H29+H30+H31+H36</f>
        <v>27.156942399999998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90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6.3153612499999996</v>
      </c>
      <c r="E23" s="118">
        <f>2*0.71159</f>
        <v>1.4231799999999999</v>
      </c>
      <c r="F23" s="119">
        <f>D23*0.24</f>
        <v>1.5156866999999998</v>
      </c>
      <c r="G23" s="119">
        <f>F23+D23</f>
        <v>7.8310479499999994</v>
      </c>
      <c r="H23" s="119">
        <f>G23/$G$6</f>
        <v>1.7647431999999998</v>
      </c>
    </row>
    <row r="24" spans="2:8">
      <c r="B24" s="79">
        <v>3.2</v>
      </c>
      <c r="C24" s="80" t="s">
        <v>66</v>
      </c>
      <c r="D24" s="120">
        <f>E24*G6</f>
        <v>65.677618124999995</v>
      </c>
      <c r="E24" s="120">
        <v>14.80059</v>
      </c>
      <c r="F24" s="119">
        <f>D24*0.24</f>
        <v>15.762628349999998</v>
      </c>
      <c r="G24" s="119">
        <f>F24+D24</f>
        <v>81.440246474999995</v>
      </c>
      <c r="H24" s="119">
        <f>G24/$G$6</f>
        <v>18.352731599999998</v>
      </c>
    </row>
    <row r="25" spans="2:8">
      <c r="B25" s="76"/>
      <c r="C25" s="77" t="s">
        <v>27</v>
      </c>
      <c r="D25" s="81">
        <f>SUM(D23:D24)</f>
        <v>71.99297937499999</v>
      </c>
      <c r="E25" s="81">
        <f>SUM(E23:E24)</f>
        <v>16.223769999999998</v>
      </c>
      <c r="F25" s="81">
        <f>SUM(F23:F23)</f>
        <v>1.5156866999999998</v>
      </c>
      <c r="G25" s="81">
        <f>SUM(G23:G23)</f>
        <v>7.8310479499999994</v>
      </c>
      <c r="H25" s="81">
        <f>SUM(H23:H23)</f>
        <v>1.7647431999999998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975.04925687499997</v>
      </c>
      <c r="E29" s="105">
        <v>219.72941</v>
      </c>
      <c r="F29" s="119">
        <f>D29*0.24</f>
        <v>234.01182164999997</v>
      </c>
      <c r="G29" s="119">
        <f>F29+D29</f>
        <v>1209.0610785249999</v>
      </c>
      <c r="H29" s="119">
        <f>G29/$G$6</f>
        <v>272.46446839999999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407.06833812500003</v>
      </c>
      <c r="E31" s="105">
        <v>91.733710000000002</v>
      </c>
      <c r="F31" s="119">
        <f>D31*0.24</f>
        <v>97.69640115</v>
      </c>
      <c r="G31" s="119">
        <f>F31+D31</f>
        <v>504.76473927500001</v>
      </c>
      <c r="H31" s="119">
        <f>G31/$G$6</f>
        <v>113.7498004</v>
      </c>
    </row>
    <row r="32" spans="2:8">
      <c r="B32" s="85"/>
      <c r="C32" s="86" t="s">
        <v>34</v>
      </c>
      <c r="D32" s="105">
        <f>SUM(D29:D31)</f>
        <v>1382.1175949999999</v>
      </c>
      <c r="E32" s="105">
        <f>SUM(E29:E31)</f>
        <v>311.46312</v>
      </c>
      <c r="F32" s="105">
        <f>SUM(F29:F31)</f>
        <v>331.70822279999999</v>
      </c>
      <c r="G32" s="105">
        <f>SUM(G29:G31)</f>
        <v>1713.8258177999999</v>
      </c>
      <c r="H32" s="105">
        <f>SUM(H29:H31)</f>
        <v>386.21426880000001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1454.1105743749999</v>
      </c>
      <c r="E47" s="103">
        <f>E16+E20+E25+E32+E41</f>
        <v>327.68689000000001</v>
      </c>
      <c r="F47" s="103">
        <f>F16+F20+F25+F32+F41</f>
        <v>333.22390949999999</v>
      </c>
      <c r="G47" s="103">
        <f>G16+G20+G25+G32+G41</f>
        <v>1721.65686575</v>
      </c>
      <c r="H47" s="103">
        <f>H16+H20+H25+H32+H41</f>
        <v>387.97901200000001</v>
      </c>
    </row>
    <row r="48" spans="2:8" ht="15">
      <c r="B48" s="101"/>
      <c r="C48" s="102" t="s">
        <v>56</v>
      </c>
      <c r="D48" s="103">
        <f>D14+D15+D20+D30+D31+D29+D36</f>
        <v>1382.1175949999999</v>
      </c>
      <c r="E48" s="103">
        <f>E14+E15+E20+E29+E30+E31+E36</f>
        <v>311.46312</v>
      </c>
      <c r="F48" s="103">
        <f>F14+F15+F20+F29+F30+F31+F36</f>
        <v>331.70822279999999</v>
      </c>
      <c r="G48" s="103">
        <f>G14+G15+G20+G29+G30+G31+G36</f>
        <v>1713.8258177999999</v>
      </c>
      <c r="H48" s="103">
        <f>H14+H15+H20+H29+H30+H31+H36</f>
        <v>386.21426880000001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</sheetPr>
  <dimension ref="B1:M52"/>
  <sheetViews>
    <sheetView view="pageBreakPreview" zoomScaleSheetLayoutView="100" workbookViewId="0">
      <selection activeCell="C36" sqref="C36"/>
    </sheetView>
  </sheetViews>
  <sheetFormatPr defaultColWidth="9.140625" defaultRowHeight="12.75"/>
  <cols>
    <col min="1" max="1" width="3.28515625" customWidth="1"/>
    <col min="2" max="2" width="5.7109375" customWidth="1"/>
    <col min="3" max="3" width="39.28515625" customWidth="1"/>
    <col min="4" max="4" width="10.140625" customWidth="1"/>
    <col min="5" max="5" width="9.5703125" customWidth="1"/>
    <col min="6" max="6" width="10" customWidth="1"/>
    <col min="7" max="7" width="9.5703125" customWidth="1"/>
    <col min="8" max="8" width="9.85546875" customWidth="1"/>
    <col min="10" max="10" width="11.7109375" bestFit="1" customWidth="1"/>
    <col min="11" max="12" width="12.85546875" bestFit="1" customWidth="1"/>
  </cols>
  <sheetData>
    <row r="1" spans="2:8">
      <c r="B1" s="14"/>
      <c r="C1" s="159" t="s">
        <v>70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3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3">
      <c r="B17" s="150" t="s">
        <v>18</v>
      </c>
      <c r="C17" s="151"/>
      <c r="D17" s="151"/>
      <c r="E17" s="151"/>
      <c r="F17" s="151"/>
      <c r="G17" s="151"/>
      <c r="H17" s="152"/>
    </row>
    <row r="18" spans="2:13">
      <c r="B18" s="135" t="s">
        <v>19</v>
      </c>
      <c r="C18" s="136"/>
      <c r="D18" s="136"/>
      <c r="E18" s="136"/>
      <c r="F18" s="136"/>
      <c r="G18" s="136"/>
      <c r="H18" s="137"/>
    </row>
    <row r="19" spans="2:13" ht="25.5">
      <c r="B19" s="17"/>
      <c r="C19" s="11" t="s">
        <v>20</v>
      </c>
      <c r="D19" s="29"/>
      <c r="E19" s="29"/>
      <c r="F19" s="30"/>
      <c r="G19" s="30"/>
      <c r="H19" s="30"/>
    </row>
    <row r="20" spans="2:13">
      <c r="B20" s="10"/>
      <c r="C20" s="13" t="s">
        <v>21</v>
      </c>
      <c r="D20" s="32"/>
      <c r="E20" s="32"/>
      <c r="F20" s="32"/>
      <c r="G20" s="32"/>
      <c r="H20" s="32"/>
      <c r="K20" s="106"/>
      <c r="L20" s="106"/>
      <c r="M20" s="106"/>
    </row>
    <row r="21" spans="2:13">
      <c r="B21" s="150" t="s">
        <v>22</v>
      </c>
      <c r="C21" s="151"/>
      <c r="D21" s="151"/>
      <c r="E21" s="151"/>
      <c r="F21" s="151"/>
      <c r="G21" s="151"/>
      <c r="H21" s="152"/>
      <c r="K21" s="106"/>
      <c r="L21" s="106"/>
      <c r="M21" s="106"/>
    </row>
    <row r="22" spans="2:13">
      <c r="B22" s="135" t="s">
        <v>23</v>
      </c>
      <c r="C22" s="136"/>
      <c r="D22" s="136"/>
      <c r="E22" s="136"/>
      <c r="F22" s="136"/>
      <c r="G22" s="136"/>
      <c r="H22" s="137"/>
      <c r="K22" s="106"/>
      <c r="L22" s="106"/>
      <c r="M22" s="106"/>
    </row>
    <row r="23" spans="2:13" ht="15">
      <c r="B23" s="17" t="s">
        <v>24</v>
      </c>
      <c r="C23" s="11" t="s">
        <v>25</v>
      </c>
      <c r="D23" s="57">
        <f>E23*G6</f>
        <v>1.4728950000000001</v>
      </c>
      <c r="E23" s="57">
        <f>0.16596*2</f>
        <v>0.33191999999999999</v>
      </c>
      <c r="F23" s="55">
        <f>D23*0.24</f>
        <v>0.3534948</v>
      </c>
      <c r="G23" s="55">
        <f>F23+D23</f>
        <v>1.8263898000000001</v>
      </c>
      <c r="H23" s="55">
        <f>G23/$G$6</f>
        <v>0.41158080000000002</v>
      </c>
      <c r="K23" s="115"/>
      <c r="L23" s="106"/>
      <c r="M23" s="106"/>
    </row>
    <row r="24" spans="2:13">
      <c r="B24" s="40">
        <v>3.2</v>
      </c>
      <c r="C24" s="56" t="s">
        <v>26</v>
      </c>
      <c r="D24" s="117">
        <f>E24*G6</f>
        <v>15.317628749999999</v>
      </c>
      <c r="E24" s="117">
        <v>3.4518599999999999</v>
      </c>
      <c r="F24" s="55">
        <f>D24*0.24</f>
        <v>3.6762308999999997</v>
      </c>
      <c r="G24" s="55">
        <f>F24+D24</f>
        <v>18.993859649999997</v>
      </c>
      <c r="H24" s="55">
        <f>G24/$G$6</f>
        <v>4.2803063999999997</v>
      </c>
      <c r="K24" s="106"/>
      <c r="L24" s="106"/>
      <c r="M24" s="106"/>
    </row>
    <row r="25" spans="2:13">
      <c r="B25" s="10"/>
      <c r="C25" s="13" t="s">
        <v>27</v>
      </c>
      <c r="D25" s="48">
        <f>SUM(D23:D23)</f>
        <v>1.4728950000000001</v>
      </c>
      <c r="E25" s="48">
        <f>SUM(E23:E24)</f>
        <v>3.7837800000000001</v>
      </c>
      <c r="F25" s="48">
        <f>SUM(F23:F24)</f>
        <v>4.0297257000000002</v>
      </c>
      <c r="G25" s="48">
        <f>SUM(G23:G24)</f>
        <v>20.820249449999999</v>
      </c>
      <c r="H25" s="48">
        <f>SUM(H23:H24)</f>
        <v>4.6918872</v>
      </c>
      <c r="K25" s="106"/>
      <c r="L25" s="106"/>
      <c r="M25" s="106"/>
    </row>
    <row r="26" spans="2:13">
      <c r="B26" s="150" t="s">
        <v>28</v>
      </c>
      <c r="C26" s="151"/>
      <c r="D26" s="151"/>
      <c r="E26" s="151"/>
      <c r="F26" s="151"/>
      <c r="G26" s="151"/>
      <c r="H26" s="152"/>
      <c r="K26" s="106"/>
      <c r="L26" s="106"/>
      <c r="M26" s="106"/>
    </row>
    <row r="27" spans="2:13">
      <c r="B27" s="135" t="s">
        <v>29</v>
      </c>
      <c r="C27" s="136"/>
      <c r="D27" s="136"/>
      <c r="E27" s="136"/>
      <c r="F27" s="136"/>
      <c r="G27" s="136"/>
      <c r="H27" s="137"/>
      <c r="K27" s="106"/>
      <c r="L27" s="106"/>
      <c r="M27" s="106"/>
    </row>
    <row r="28" spans="2:13">
      <c r="B28" s="41">
        <v>4</v>
      </c>
      <c r="C28" s="42" t="s">
        <v>30</v>
      </c>
      <c r="D28" s="42"/>
      <c r="E28" s="42"/>
      <c r="F28" s="42"/>
      <c r="G28" s="42"/>
      <c r="H28" s="43"/>
      <c r="K28" s="106"/>
      <c r="L28" s="106"/>
      <c r="M28" s="106"/>
    </row>
    <row r="29" spans="2:13" ht="25.5">
      <c r="B29" s="17">
        <v>4.0999999999999996</v>
      </c>
      <c r="C29" s="11" t="s">
        <v>31</v>
      </c>
      <c r="D29" s="57">
        <f>E29*G6</f>
        <v>502.37310250000002</v>
      </c>
      <c r="E29" s="57">
        <v>113.21084</v>
      </c>
      <c r="F29" s="55">
        <f>D29*0.24</f>
        <v>120.5695446</v>
      </c>
      <c r="G29" s="55">
        <f>F29+D29</f>
        <v>622.94264710000004</v>
      </c>
      <c r="H29" s="55">
        <f>G29/$G$6</f>
        <v>140.38144160000002</v>
      </c>
      <c r="K29" s="106"/>
      <c r="L29" s="106"/>
      <c r="M29" s="106"/>
    </row>
    <row r="30" spans="2:13">
      <c r="B30" s="18">
        <v>4.2</v>
      </c>
      <c r="C30" s="1" t="s">
        <v>32</v>
      </c>
      <c r="D30" s="57">
        <f>E30*G6</f>
        <v>178.9393475</v>
      </c>
      <c r="E30" s="57">
        <v>40.324359999999999</v>
      </c>
      <c r="F30" s="55">
        <f>D30*0.24</f>
        <v>42.945443399999995</v>
      </c>
      <c r="G30" s="55">
        <f>F30+D30</f>
        <v>221.88479089999998</v>
      </c>
      <c r="H30" s="55">
        <f>G30/$G$6</f>
        <v>50.002206399999999</v>
      </c>
      <c r="K30" s="106"/>
      <c r="L30" s="106"/>
      <c r="M30" s="106"/>
    </row>
    <row r="31" spans="2:13">
      <c r="B31" s="18">
        <v>4.3</v>
      </c>
      <c r="C31" s="1" t="s">
        <v>33</v>
      </c>
      <c r="D31" s="57">
        <f>E31*G6</f>
        <v>39.187429375000001</v>
      </c>
      <c r="E31" s="57">
        <v>8.8309700000000007</v>
      </c>
      <c r="F31" s="55">
        <f>D31*0.24</f>
        <v>9.4049830500000002</v>
      </c>
      <c r="G31" s="55">
        <f>F31+D31</f>
        <v>48.592412424999999</v>
      </c>
      <c r="H31" s="55">
        <f>G31/$G$6</f>
        <v>10.950402799999999</v>
      </c>
      <c r="K31" s="106"/>
      <c r="L31" s="106"/>
      <c r="M31" s="106"/>
    </row>
    <row r="32" spans="2:13">
      <c r="B32" s="19"/>
      <c r="C32" s="12" t="s">
        <v>34</v>
      </c>
      <c r="D32" s="54">
        <f>SUM(D29:D31)</f>
        <v>720.49987937499998</v>
      </c>
      <c r="E32" s="54">
        <f>SUM(E29:E31)</f>
        <v>162.36617000000001</v>
      </c>
      <c r="F32" s="54">
        <f>SUM(F29:F31)</f>
        <v>172.91997104999999</v>
      </c>
      <c r="G32" s="54">
        <f>SUM(G29:G31)</f>
        <v>893.41985042500005</v>
      </c>
      <c r="H32" s="54">
        <f>SUM(H29:H31)</f>
        <v>201.33405080000003</v>
      </c>
      <c r="K32" s="106"/>
      <c r="L32" s="106"/>
      <c r="M32" s="106"/>
    </row>
    <row r="33" spans="2:13">
      <c r="B33" s="144" t="s">
        <v>35</v>
      </c>
      <c r="C33" s="145"/>
      <c r="D33" s="145"/>
      <c r="E33" s="145"/>
      <c r="F33" s="145"/>
      <c r="G33" s="145"/>
      <c r="H33" s="146"/>
      <c r="K33" s="106"/>
      <c r="L33" s="106"/>
      <c r="M33" s="106"/>
    </row>
    <row r="34" spans="2:13">
      <c r="B34" s="147" t="s">
        <v>36</v>
      </c>
      <c r="C34" s="148"/>
      <c r="D34" s="148"/>
      <c r="E34" s="148"/>
      <c r="F34" s="148"/>
      <c r="G34" s="148"/>
      <c r="H34" s="149"/>
      <c r="K34" s="106"/>
      <c r="L34" s="106"/>
      <c r="M34" s="106"/>
    </row>
    <row r="35" spans="2:13">
      <c r="B35" s="21" t="s">
        <v>37</v>
      </c>
      <c r="C35" s="1" t="s">
        <v>38</v>
      </c>
      <c r="D35" s="6"/>
      <c r="E35" s="6"/>
      <c r="F35" s="6"/>
      <c r="G35" s="6"/>
      <c r="H35" s="6"/>
      <c r="K35" s="106"/>
      <c r="L35" s="106"/>
      <c r="M35" s="106"/>
    </row>
    <row r="36" spans="2:13" ht="17.100000000000001" customHeight="1">
      <c r="B36" s="21" t="s">
        <v>39</v>
      </c>
      <c r="C36" s="1" t="s">
        <v>40</v>
      </c>
      <c r="D36" s="50"/>
      <c r="E36" s="34"/>
      <c r="F36" s="35"/>
      <c r="G36" s="35"/>
      <c r="H36" s="35"/>
      <c r="K36" s="106"/>
      <c r="L36" s="106"/>
      <c r="M36" s="106"/>
    </row>
    <row r="37" spans="2:13" ht="17.100000000000001" customHeight="1">
      <c r="B37" s="20" t="s">
        <v>41</v>
      </c>
      <c r="C37" s="1" t="s">
        <v>71</v>
      </c>
      <c r="D37" s="34"/>
      <c r="E37" s="34"/>
      <c r="F37" s="35"/>
      <c r="G37" s="35"/>
      <c r="H37" s="35"/>
      <c r="K37" s="106"/>
      <c r="L37" s="106"/>
      <c r="M37" s="106"/>
    </row>
    <row r="38" spans="2:13" ht="18" customHeight="1">
      <c r="B38" s="21" t="s">
        <v>43</v>
      </c>
      <c r="C38" s="1" t="s">
        <v>44</v>
      </c>
      <c r="D38" s="34"/>
      <c r="E38" s="34"/>
      <c r="F38" s="35"/>
      <c r="G38" s="35"/>
      <c r="H38" s="35"/>
      <c r="K38" s="106"/>
      <c r="L38" s="106"/>
      <c r="M38" s="106"/>
    </row>
    <row r="39" spans="2:13" ht="18" customHeight="1">
      <c r="B39" s="20" t="s">
        <v>45</v>
      </c>
      <c r="C39" s="1" t="s">
        <v>46</v>
      </c>
      <c r="D39" s="34"/>
      <c r="E39" s="34"/>
      <c r="F39" s="35"/>
      <c r="G39" s="35"/>
      <c r="H39" s="35"/>
      <c r="K39" s="106"/>
      <c r="L39" s="106"/>
      <c r="M39" s="106"/>
    </row>
    <row r="40" spans="2:13">
      <c r="B40" s="20" t="s">
        <v>47</v>
      </c>
      <c r="C40" s="1" t="s">
        <v>48</v>
      </c>
      <c r="D40" s="34"/>
      <c r="E40" s="34"/>
      <c r="F40" s="35"/>
      <c r="G40" s="35"/>
      <c r="H40" s="35"/>
      <c r="K40" s="106"/>
      <c r="L40" s="106"/>
      <c r="M40" s="106"/>
    </row>
    <row r="41" spans="2:13">
      <c r="B41" s="23"/>
      <c r="C41" s="24" t="s">
        <v>49</v>
      </c>
      <c r="D41" s="33"/>
      <c r="E41" s="33"/>
      <c r="F41" s="33"/>
      <c r="G41" s="33"/>
      <c r="H41" s="33"/>
      <c r="K41" s="106"/>
      <c r="L41" s="106"/>
      <c r="M41" s="106"/>
    </row>
    <row r="42" spans="2:13">
      <c r="B42" s="150" t="s">
        <v>50</v>
      </c>
      <c r="C42" s="151"/>
      <c r="D42" s="151"/>
      <c r="E42" s="151"/>
      <c r="F42" s="151"/>
      <c r="G42" s="151"/>
      <c r="H42" s="152"/>
      <c r="K42" s="106"/>
      <c r="L42" s="106"/>
      <c r="M42" s="106"/>
    </row>
    <row r="43" spans="2:13">
      <c r="B43" s="135" t="s">
        <v>51</v>
      </c>
      <c r="C43" s="136"/>
      <c r="D43" s="136"/>
      <c r="E43" s="136"/>
      <c r="F43" s="136"/>
      <c r="G43" s="136"/>
      <c r="H43" s="137"/>
      <c r="K43" s="106"/>
      <c r="L43" s="106"/>
      <c r="M43" s="106"/>
    </row>
    <row r="44" spans="2:13">
      <c r="B44" s="17">
        <v>6.1</v>
      </c>
      <c r="C44" s="11" t="s">
        <v>52</v>
      </c>
      <c r="D44" s="34"/>
      <c r="E44" s="34"/>
      <c r="F44" s="35"/>
      <c r="G44" s="35"/>
      <c r="H44" s="35"/>
      <c r="K44" s="106"/>
      <c r="L44" s="106"/>
      <c r="M44" s="106"/>
    </row>
    <row r="45" spans="2:13">
      <c r="B45" s="18">
        <v>6.2</v>
      </c>
      <c r="C45" s="1" t="s">
        <v>53</v>
      </c>
      <c r="D45" s="34"/>
      <c r="E45" s="34"/>
      <c r="F45" s="35"/>
      <c r="G45" s="35"/>
      <c r="H45" s="35"/>
      <c r="K45" s="106"/>
      <c r="L45" s="106"/>
      <c r="M45" s="106"/>
    </row>
    <row r="46" spans="2:13">
      <c r="B46" s="10"/>
      <c r="C46" s="22" t="s">
        <v>54</v>
      </c>
      <c r="D46" s="36"/>
      <c r="E46" s="36"/>
      <c r="F46" s="36"/>
      <c r="G46" s="36"/>
      <c r="H46" s="36"/>
      <c r="K46" s="106"/>
      <c r="L46" s="106"/>
      <c r="M46" s="106"/>
    </row>
    <row r="47" spans="2:13" ht="15">
      <c r="B47" s="47"/>
      <c r="C47" s="46" t="s">
        <v>55</v>
      </c>
      <c r="D47" s="49">
        <f>D46+D41+D32+D25+D20+D16</f>
        <v>721.97277437499997</v>
      </c>
      <c r="E47" s="49">
        <f>E16+E20+E25+E32+E41</f>
        <v>166.14995000000002</v>
      </c>
      <c r="F47" s="49">
        <f>F16+F20+F25+F32+F41</f>
        <v>176.94969674999999</v>
      </c>
      <c r="G47" s="49">
        <f>G16+G20+G25+G32+G41</f>
        <v>914.24009987500006</v>
      </c>
      <c r="H47" s="49">
        <f>H16+H20+H25+H32+H41</f>
        <v>206.02593800000002</v>
      </c>
      <c r="K47" s="106"/>
      <c r="L47" s="106"/>
      <c r="M47" s="106"/>
    </row>
    <row r="48" spans="2:13" ht="15">
      <c r="B48" s="47"/>
      <c r="C48" s="46" t="s">
        <v>56</v>
      </c>
      <c r="D48" s="49">
        <f>D14+D15+D20+D30+D31+D29+D36</f>
        <v>720.49987937499998</v>
      </c>
      <c r="E48" s="49">
        <f>E14+E15+E20+E29+E30+E31+E36</f>
        <v>162.36617000000001</v>
      </c>
      <c r="F48" s="49">
        <f>F14+F15+F20+F29+F30+F31+F36</f>
        <v>172.91997104999999</v>
      </c>
      <c r="G48" s="49">
        <f>G14+G15+G20+G29+G30+G31+G36</f>
        <v>893.41985042500005</v>
      </c>
      <c r="H48" s="49">
        <f>H14+H15+H20+H29+H30+H31+H36</f>
        <v>201.33405080000003</v>
      </c>
      <c r="K48" s="106"/>
      <c r="L48" s="106"/>
      <c r="M48" s="106"/>
    </row>
    <row r="49" spans="11:13">
      <c r="K49" s="106"/>
      <c r="L49" s="106"/>
      <c r="M49" s="106"/>
    </row>
    <row r="50" spans="11:13">
      <c r="K50" s="106"/>
      <c r="L50" s="106"/>
      <c r="M50" s="106"/>
    </row>
    <row r="51" spans="11:13">
      <c r="K51" s="106"/>
      <c r="L51" s="106"/>
      <c r="M51" s="106"/>
    </row>
    <row r="52" spans="11:13">
      <c r="K52" s="106"/>
      <c r="L52" s="106"/>
      <c r="M52" s="106"/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3937499999999999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91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0.50773875000000002</v>
      </c>
      <c r="E23" s="118">
        <f>2*0.05721</f>
        <v>0.11441999999999999</v>
      </c>
      <c r="F23" s="119">
        <f>D23*0.24</f>
        <v>0.1218573</v>
      </c>
      <c r="G23" s="119">
        <f>F23+D23</f>
        <v>0.62959604999999996</v>
      </c>
      <c r="H23" s="119">
        <f>G23/$G$6</f>
        <v>0.1418808</v>
      </c>
    </row>
    <row r="24" spans="2:8">
      <c r="B24" s="79">
        <v>3.2</v>
      </c>
      <c r="C24" s="80" t="s">
        <v>66</v>
      </c>
      <c r="D24" s="120">
        <f>E24*G6</f>
        <v>5.3573493750000001</v>
      </c>
      <c r="E24" s="120">
        <v>1.20729</v>
      </c>
      <c r="F24" s="119">
        <f>D24*0.24</f>
        <v>1.2857638499999999</v>
      </c>
      <c r="G24" s="119">
        <f>F24+D24</f>
        <v>6.6431132250000005</v>
      </c>
      <c r="H24" s="119">
        <f>G24/$G$6</f>
        <v>1.4970396000000001</v>
      </c>
    </row>
    <row r="25" spans="2:8">
      <c r="B25" s="76"/>
      <c r="C25" s="77" t="s">
        <v>27</v>
      </c>
      <c r="D25" s="81">
        <f>SUM(D23:D24)</f>
        <v>5.8650881249999998</v>
      </c>
      <c r="E25" s="81">
        <f>SUM(E23:E24)</f>
        <v>1.3217099999999999</v>
      </c>
      <c r="F25" s="81">
        <f>SUM(F23:F23)</f>
        <v>0.1218573</v>
      </c>
      <c r="G25" s="81">
        <f>SUM(G23:G23)</f>
        <v>0.62959604999999996</v>
      </c>
      <c r="H25" s="81">
        <f>SUM(H23:H23)</f>
        <v>0.1418808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198.085606875</v>
      </c>
      <c r="E29" s="105">
        <v>44.639009999999999</v>
      </c>
      <c r="F29" s="119">
        <f>D29*0.24</f>
        <v>47.540545649999999</v>
      </c>
      <c r="G29" s="119">
        <f>F29+D29</f>
        <v>245.62615252500001</v>
      </c>
      <c r="H29" s="119">
        <f>G29/$G$6</f>
        <v>55.3523724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23.738849999999999</v>
      </c>
      <c r="E31" s="105">
        <v>5.3495999999999997</v>
      </c>
      <c r="F31" s="119">
        <f>D31*0.24</f>
        <v>5.6973240000000001</v>
      </c>
      <c r="G31" s="119">
        <f>F31+D31</f>
        <v>29.436174000000001</v>
      </c>
      <c r="H31" s="119">
        <f>G31/$G$6</f>
        <v>6.6335040000000003</v>
      </c>
    </row>
    <row r="32" spans="2:8">
      <c r="B32" s="85"/>
      <c r="C32" s="86" t="s">
        <v>34</v>
      </c>
      <c r="D32" s="105">
        <f>SUM(D29:D31)</f>
        <v>221.82445687500001</v>
      </c>
      <c r="E32" s="105">
        <f>SUM(E29:E31)</f>
        <v>49.988610000000001</v>
      </c>
      <c r="F32" s="105">
        <f>SUM(F29:F31)</f>
        <v>53.23786965</v>
      </c>
      <c r="G32" s="105">
        <f>SUM(G29:G31)</f>
        <v>275.062326525</v>
      </c>
      <c r="H32" s="105">
        <f>SUM(H29:H31)</f>
        <v>61.985876400000002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227.68954500000001</v>
      </c>
      <c r="E47" s="103">
        <f>E16+E20+E25+E32+E41</f>
        <v>51.310320000000004</v>
      </c>
      <c r="F47" s="103">
        <f>F16+F20+F25+F32+F41</f>
        <v>53.359726950000002</v>
      </c>
      <c r="G47" s="103">
        <f>G16+G20+G25+G32+G41</f>
        <v>275.69192257499998</v>
      </c>
      <c r="H47" s="103">
        <f>H16+H20+H25+H32+H41</f>
        <v>62.127757200000005</v>
      </c>
    </row>
    <row r="48" spans="2:8" ht="15">
      <c r="B48" s="101"/>
      <c r="C48" s="102" t="s">
        <v>56</v>
      </c>
      <c r="D48" s="103">
        <f>D14+D15+D20+D30+D31+D29+D36</f>
        <v>221.82445687500001</v>
      </c>
      <c r="E48" s="103">
        <f>E14+E15+E20+E29+E30+E31+E36</f>
        <v>49.988610000000001</v>
      </c>
      <c r="F48" s="103">
        <f>F14+F15+F20+F29+F30+F31+F36</f>
        <v>53.23786965</v>
      </c>
      <c r="G48" s="103">
        <f>G14+G15+G20+G29+G30+G31+G36</f>
        <v>275.062326525</v>
      </c>
      <c r="H48" s="103">
        <f>H14+H15+H20+H29+H30+H31+H36</f>
        <v>61.985876400000002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92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4.1265200000000002</v>
      </c>
      <c r="E23" s="118">
        <f>2*0.46496</f>
        <v>0.92991999999999997</v>
      </c>
      <c r="F23" s="119">
        <f>D23*0.24</f>
        <v>0.99036480000000005</v>
      </c>
      <c r="G23" s="119">
        <f>F23+D23</f>
        <v>5.1168848000000002</v>
      </c>
      <c r="H23" s="119">
        <f>G23/$G$6</f>
        <v>1.1531008</v>
      </c>
    </row>
    <row r="24" spans="2:8">
      <c r="B24" s="79">
        <v>3.2</v>
      </c>
      <c r="C24" s="80" t="s">
        <v>66</v>
      </c>
      <c r="D24" s="120">
        <f>E24*G6</f>
        <v>42.914263750000003</v>
      </c>
      <c r="E24" s="120">
        <v>9.6708200000000009</v>
      </c>
      <c r="F24" s="119">
        <f>D24*0.24</f>
        <v>10.299423300000001</v>
      </c>
      <c r="G24" s="119">
        <f>F24+D24</f>
        <v>53.213687050000004</v>
      </c>
      <c r="H24" s="119">
        <f>G24/$G$6</f>
        <v>11.9918168</v>
      </c>
    </row>
    <row r="25" spans="2:8">
      <c r="B25" s="76"/>
      <c r="C25" s="77" t="s">
        <v>27</v>
      </c>
      <c r="D25" s="81">
        <f>SUM(D23:D24)</f>
        <v>47.040783750000003</v>
      </c>
      <c r="E25" s="81">
        <f>SUM(E23:E24)</f>
        <v>10.60074</v>
      </c>
      <c r="F25" s="81">
        <f>SUM(F23:F23)</f>
        <v>0.99036480000000005</v>
      </c>
      <c r="G25" s="81">
        <f>SUM(G23:G23)</f>
        <v>5.1168848000000002</v>
      </c>
      <c r="H25" s="81">
        <f>SUM(H23:H23)</f>
        <v>1.1531008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0</v>
      </c>
      <c r="E29" s="105">
        <v>0</v>
      </c>
      <c r="F29" s="119">
        <f>D29*0.24</f>
        <v>0</v>
      </c>
      <c r="G29" s="119">
        <f>F29+D29</f>
        <v>0</v>
      </c>
      <c r="H29" s="119">
        <f>G29/$G$6</f>
        <v>0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176.87204937500002</v>
      </c>
      <c r="E31" s="105">
        <v>39.858490000000003</v>
      </c>
      <c r="F31" s="119">
        <f>D31*0.24</f>
        <v>42.449291850000002</v>
      </c>
      <c r="G31" s="119">
        <f>F31+D31</f>
        <v>219.32134122500003</v>
      </c>
      <c r="H31" s="119">
        <f>G31/$G$6</f>
        <v>49.424527600000005</v>
      </c>
    </row>
    <row r="32" spans="2:8">
      <c r="B32" s="85"/>
      <c r="C32" s="86" t="s">
        <v>34</v>
      </c>
      <c r="D32" s="105">
        <f>SUM(D29:D31)</f>
        <v>176.87204937500002</v>
      </c>
      <c r="E32" s="105">
        <f>SUM(E29:E31)</f>
        <v>39.858490000000003</v>
      </c>
      <c r="F32" s="105">
        <f>SUM(F29:F31)</f>
        <v>42.449291850000002</v>
      </c>
      <c r="G32" s="105">
        <f>SUM(G29:G31)</f>
        <v>219.32134122500003</v>
      </c>
      <c r="H32" s="105">
        <f>SUM(H29:H31)</f>
        <v>49.424527600000005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223.91283312500002</v>
      </c>
      <c r="E47" s="103">
        <f>E16+E20+E25+E32+E41</f>
        <v>50.459230000000005</v>
      </c>
      <c r="F47" s="103">
        <f>F16+F20+F25+F32+F41</f>
        <v>43.439656650000003</v>
      </c>
      <c r="G47" s="103">
        <f>G16+G20+G25+G32+G41</f>
        <v>224.43822602500003</v>
      </c>
      <c r="H47" s="103">
        <f>H16+H20+H25+H32+H41</f>
        <v>50.577628400000002</v>
      </c>
    </row>
    <row r="48" spans="2:8" ht="15">
      <c r="B48" s="101"/>
      <c r="C48" s="102" t="s">
        <v>56</v>
      </c>
      <c r="D48" s="103">
        <f>D14+D15+D20+D30+D31+D29+D36</f>
        <v>176.87204937500002</v>
      </c>
      <c r="E48" s="103">
        <f>E14+E15+E20+E29+E30+E31+E36</f>
        <v>39.858490000000003</v>
      </c>
      <c r="F48" s="103">
        <f>F14+F15+F20+F29+F30+F31+F36</f>
        <v>42.449291850000002</v>
      </c>
      <c r="G48" s="103">
        <f>G14+G15+G20+G29+G30+G31+G36</f>
        <v>219.32134122500003</v>
      </c>
      <c r="H48" s="103">
        <f>H14+H15+H20+H29+H30+H31+H36</f>
        <v>49.424527600000005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zoomScale="95" zoomScaleSheetLayoutView="95" workbookViewId="0">
      <selection activeCell="C36" sqref="C36"/>
    </sheetView>
  </sheetViews>
  <sheetFormatPr defaultColWidth="9.140625" defaultRowHeight="12.75"/>
  <cols>
    <col min="1" max="1" width="3.42578125" customWidth="1"/>
    <col min="2" max="2" width="6" customWidth="1"/>
    <col min="3" max="3" width="38.5703125" customWidth="1"/>
    <col min="4" max="4" width="10.42578125" customWidth="1"/>
    <col min="5" max="5" width="9.85546875" customWidth="1"/>
    <col min="6" max="7" width="8.7109375" customWidth="1"/>
    <col min="8" max="8" width="9" customWidth="1"/>
    <col min="10" max="11" width="12.85546875" bestFit="1" customWidth="1"/>
  </cols>
  <sheetData>
    <row r="1" spans="2:8">
      <c r="B1" s="14"/>
      <c r="C1" s="159" t="s">
        <v>72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2.1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8">
      <c r="B17" s="150" t="s">
        <v>18</v>
      </c>
      <c r="C17" s="151"/>
      <c r="D17" s="151"/>
      <c r="E17" s="151"/>
      <c r="F17" s="151"/>
      <c r="G17" s="151"/>
      <c r="H17" s="152"/>
    </row>
    <row r="18" spans="2:8">
      <c r="B18" s="135" t="s">
        <v>19</v>
      </c>
      <c r="C18" s="136"/>
      <c r="D18" s="136"/>
      <c r="E18" s="136"/>
      <c r="F18" s="136"/>
      <c r="G18" s="136"/>
      <c r="H18" s="137"/>
    </row>
    <row r="19" spans="2:8" ht="25.5">
      <c r="B19" s="17"/>
      <c r="C19" s="11" t="s">
        <v>20</v>
      </c>
      <c r="D19" s="29"/>
      <c r="E19" s="29"/>
      <c r="F19" s="30"/>
      <c r="G19" s="30"/>
      <c r="H19" s="30"/>
    </row>
    <row r="20" spans="2:8">
      <c r="B20" s="10"/>
      <c r="C20" s="13" t="s">
        <v>21</v>
      </c>
      <c r="D20" s="32"/>
      <c r="E20" s="32"/>
      <c r="F20" s="32"/>
      <c r="G20" s="32"/>
      <c r="H20" s="32"/>
    </row>
    <row r="21" spans="2:8">
      <c r="B21" s="150" t="s">
        <v>22</v>
      </c>
      <c r="C21" s="151"/>
      <c r="D21" s="151"/>
      <c r="E21" s="151"/>
      <c r="F21" s="151"/>
      <c r="G21" s="151"/>
      <c r="H21" s="152"/>
    </row>
    <row r="22" spans="2:8">
      <c r="B22" s="135" t="s">
        <v>23</v>
      </c>
      <c r="C22" s="136"/>
      <c r="D22" s="136"/>
      <c r="E22" s="136"/>
      <c r="F22" s="136"/>
      <c r="G22" s="136"/>
      <c r="H22" s="137"/>
    </row>
    <row r="23" spans="2:8">
      <c r="B23" s="17" t="s">
        <v>24</v>
      </c>
      <c r="C23" s="11" t="s">
        <v>73</v>
      </c>
      <c r="D23" s="57">
        <f>E23*G6</f>
        <v>1.2749825000000001</v>
      </c>
      <c r="E23" s="57">
        <f>0.10666*2+0.074</f>
        <v>0.28732000000000002</v>
      </c>
      <c r="F23" s="55">
        <f>D23*0.24</f>
        <v>0.30599580000000004</v>
      </c>
      <c r="G23" s="55">
        <f>F23+D23</f>
        <v>1.5809783000000002</v>
      </c>
      <c r="H23" s="55">
        <f>G23/$G$6</f>
        <v>0.35627680000000006</v>
      </c>
    </row>
    <row r="24" spans="2:8">
      <c r="B24" s="40" t="s">
        <v>62</v>
      </c>
      <c r="C24" s="56" t="s">
        <v>26</v>
      </c>
      <c r="D24" s="117">
        <f>E24*G6</f>
        <v>13.274559374999999</v>
      </c>
      <c r="E24" s="117">
        <v>2.9914499999999999</v>
      </c>
      <c r="F24" s="55">
        <f>D24*0.24</f>
        <v>3.1858942499999996</v>
      </c>
      <c r="G24" s="55">
        <f>F24+D24</f>
        <v>16.460453625</v>
      </c>
      <c r="H24" s="55">
        <f>G24/$G$6</f>
        <v>3.7093979999999998</v>
      </c>
    </row>
    <row r="25" spans="2:8">
      <c r="B25" s="10"/>
      <c r="C25" s="13" t="s">
        <v>27</v>
      </c>
      <c r="D25" s="48">
        <f>SUM(D23:D24)</f>
        <v>14.549541874999999</v>
      </c>
      <c r="E25" s="48">
        <f>SUM(E23:E24)</f>
        <v>3.2787699999999997</v>
      </c>
      <c r="F25" s="48">
        <f>SUM(F23:F24)</f>
        <v>3.4918900499999994</v>
      </c>
      <c r="G25" s="48">
        <f>SUM(G23:G24)</f>
        <v>18.041431925000001</v>
      </c>
      <c r="H25" s="48">
        <f>SUM(H23:H24)</f>
        <v>4.0656748</v>
      </c>
    </row>
    <row r="26" spans="2:8">
      <c r="B26" s="150" t="s">
        <v>28</v>
      </c>
      <c r="C26" s="151"/>
      <c r="D26" s="151"/>
      <c r="E26" s="151"/>
      <c r="F26" s="151"/>
      <c r="G26" s="151"/>
      <c r="H26" s="152"/>
    </row>
    <row r="27" spans="2:8">
      <c r="B27" s="135" t="s">
        <v>29</v>
      </c>
      <c r="C27" s="136"/>
      <c r="D27" s="136"/>
      <c r="E27" s="136"/>
      <c r="F27" s="136"/>
      <c r="G27" s="136"/>
      <c r="H27" s="137"/>
    </row>
    <row r="28" spans="2:8">
      <c r="B28" s="41">
        <v>4</v>
      </c>
      <c r="C28" s="42" t="s">
        <v>30</v>
      </c>
      <c r="D28" s="42"/>
      <c r="E28" s="42"/>
      <c r="F28" s="42"/>
      <c r="G28" s="42"/>
      <c r="H28" s="43"/>
    </row>
    <row r="29" spans="2:8" ht="25.5">
      <c r="B29" s="17">
        <v>4.0999999999999996</v>
      </c>
      <c r="C29" s="11" t="s">
        <v>31</v>
      </c>
      <c r="D29" s="57">
        <f>E29*G6</f>
        <v>438.99481937500002</v>
      </c>
      <c r="E29" s="57">
        <v>98.92841</v>
      </c>
      <c r="F29" s="55">
        <f>D29*0.24</f>
        <v>105.35875665</v>
      </c>
      <c r="G29" s="55">
        <f>F29+D29</f>
        <v>544.35357602500005</v>
      </c>
      <c r="H29" s="55">
        <f>G29/$G$6</f>
        <v>122.67122840000002</v>
      </c>
    </row>
    <row r="30" spans="2:8">
      <c r="B30" s="18">
        <v>4.2</v>
      </c>
      <c r="C30" s="1" t="s">
        <v>32</v>
      </c>
      <c r="D30" s="57">
        <f>E30*G6</f>
        <v>0</v>
      </c>
      <c r="E30" s="57">
        <v>0</v>
      </c>
      <c r="F30" s="55">
        <f>D30*0.24</f>
        <v>0</v>
      </c>
      <c r="G30" s="55">
        <f>F30+D30</f>
        <v>0</v>
      </c>
      <c r="H30" s="55">
        <f>G30/$G$6</f>
        <v>0</v>
      </c>
    </row>
    <row r="31" spans="2:8">
      <c r="B31" s="18">
        <v>4.3</v>
      </c>
      <c r="C31" s="1" t="s">
        <v>33</v>
      </c>
      <c r="D31" s="57">
        <f>E31*G6</f>
        <v>49.523298750000002</v>
      </c>
      <c r="E31" s="57">
        <v>11.16018</v>
      </c>
      <c r="F31" s="55">
        <f>D31*0.24</f>
        <v>11.885591700000001</v>
      </c>
      <c r="G31" s="55">
        <f>F31+D31</f>
        <v>61.408890450000001</v>
      </c>
      <c r="H31" s="55">
        <f>G31/$G$6</f>
        <v>13.838623200000001</v>
      </c>
    </row>
    <row r="32" spans="2:8">
      <c r="B32" s="19"/>
      <c r="C32" s="12" t="s">
        <v>34</v>
      </c>
      <c r="D32" s="54">
        <f>SUM(D29:D31)</f>
        <v>488.518118125</v>
      </c>
      <c r="E32" s="54">
        <f>SUM(E29:E31)</f>
        <v>110.08859</v>
      </c>
      <c r="F32" s="54">
        <f>SUM(F29:F31)</f>
        <v>117.24434835000001</v>
      </c>
      <c r="G32" s="54">
        <f>SUM(G29:G31)</f>
        <v>605.76246647500011</v>
      </c>
      <c r="H32" s="54">
        <f>SUM(H29:H31)</f>
        <v>136.50985160000002</v>
      </c>
    </row>
    <row r="33" spans="2:8">
      <c r="B33" s="144" t="s">
        <v>35</v>
      </c>
      <c r="C33" s="145"/>
      <c r="D33" s="145"/>
      <c r="E33" s="145"/>
      <c r="F33" s="145"/>
      <c r="G33" s="145"/>
      <c r="H33" s="146"/>
    </row>
    <row r="34" spans="2:8">
      <c r="B34" s="147" t="s">
        <v>36</v>
      </c>
      <c r="C34" s="148"/>
      <c r="D34" s="148"/>
      <c r="E34" s="148"/>
      <c r="F34" s="148"/>
      <c r="G34" s="148"/>
      <c r="H34" s="149"/>
    </row>
    <row r="35" spans="2:8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8" ht="14.1" customHeight="1">
      <c r="B36" s="21" t="s">
        <v>39</v>
      </c>
      <c r="C36" s="1" t="s">
        <v>40</v>
      </c>
      <c r="D36" s="50"/>
      <c r="E36" s="34"/>
      <c r="F36" s="35"/>
      <c r="G36" s="35"/>
      <c r="H36" s="35"/>
    </row>
    <row r="37" spans="2:8" ht="15.95" customHeight="1">
      <c r="B37" s="20" t="s">
        <v>41</v>
      </c>
      <c r="C37" s="1" t="s">
        <v>74</v>
      </c>
      <c r="D37" s="34"/>
      <c r="E37" s="34"/>
      <c r="F37" s="35"/>
      <c r="G37" s="35"/>
      <c r="H37" s="35"/>
    </row>
    <row r="38" spans="2:8" ht="15" customHeight="1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8" ht="15" customHeight="1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8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8">
      <c r="B41" s="23"/>
      <c r="C41" s="24" t="s">
        <v>49</v>
      </c>
      <c r="D41" s="33"/>
      <c r="E41" s="33"/>
      <c r="F41" s="33"/>
      <c r="G41" s="33"/>
      <c r="H41" s="33"/>
    </row>
    <row r="42" spans="2:8">
      <c r="B42" s="150" t="s">
        <v>50</v>
      </c>
      <c r="C42" s="151"/>
      <c r="D42" s="151"/>
      <c r="E42" s="151"/>
      <c r="F42" s="151"/>
      <c r="G42" s="151"/>
      <c r="H42" s="152"/>
    </row>
    <row r="43" spans="2:8">
      <c r="B43" s="135" t="s">
        <v>51</v>
      </c>
      <c r="C43" s="136"/>
      <c r="D43" s="136"/>
      <c r="E43" s="136"/>
      <c r="F43" s="136"/>
      <c r="G43" s="136"/>
      <c r="H43" s="137"/>
    </row>
    <row r="44" spans="2:8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8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8">
      <c r="B46" s="10"/>
      <c r="C46" s="22" t="s">
        <v>54</v>
      </c>
      <c r="D46" s="36"/>
      <c r="E46" s="36"/>
      <c r="F46" s="36"/>
      <c r="G46" s="36"/>
      <c r="H46" s="36"/>
    </row>
    <row r="47" spans="2:8" ht="15">
      <c r="B47" s="47"/>
      <c r="C47" s="46" t="s">
        <v>55</v>
      </c>
      <c r="D47" s="49">
        <f>D46+D41+D32+D25+D20+D16</f>
        <v>503.06765999999999</v>
      </c>
      <c r="E47" s="49">
        <f>E16+E20+E25+E32+E41</f>
        <v>113.36735999999999</v>
      </c>
      <c r="F47" s="49">
        <f>F16+F20+F25+F32+F41</f>
        <v>120.7362384</v>
      </c>
      <c r="G47" s="49">
        <f>G16+G20+G25+G32+G41</f>
        <v>623.80389840000009</v>
      </c>
      <c r="H47" s="49">
        <f>H16+H20+H25+H32+H41</f>
        <v>140.57552640000003</v>
      </c>
    </row>
    <row r="48" spans="2:8" ht="15">
      <c r="B48" s="47"/>
      <c r="C48" s="46" t="s">
        <v>56</v>
      </c>
      <c r="D48" s="49">
        <f>D14+D15+D20+D30+D31+D29+D36</f>
        <v>488.518118125</v>
      </c>
      <c r="E48" s="49">
        <f>E14+E15+E20+E29+E30+E31+E36</f>
        <v>110.08859</v>
      </c>
      <c r="F48" s="49">
        <f>F14+F15+F20+F29+F30+F31+F36</f>
        <v>117.24434835000001</v>
      </c>
      <c r="G48" s="49">
        <f>G14+G15+G20+G29+G30+G31+G36</f>
        <v>605.76246647500011</v>
      </c>
      <c r="H48" s="49">
        <f>H14+H15+H20+H29+H30+H31+H36</f>
        <v>136.50985160000002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39374999999999999" right="0.19652777777777777" top="0.78749999999999998" bottom="0.78749999999999998" header="0.51111111111111107" footer="0.51111111111111107"/>
  <pageSetup firstPageNumber="429496319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50"/>
  </sheetPr>
  <dimension ref="B1:N50"/>
  <sheetViews>
    <sheetView view="pageBreakPreview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5.42578125" customWidth="1"/>
    <col min="3" max="3" width="39.42578125" customWidth="1"/>
    <col min="4" max="5" width="10.28515625" customWidth="1"/>
    <col min="6" max="6" width="8.7109375" customWidth="1"/>
    <col min="7" max="8" width="9" customWidth="1"/>
    <col min="11" max="11" width="12.85546875" bestFit="1" customWidth="1"/>
    <col min="13" max="13" width="12.85546875" bestFit="1" customWidth="1"/>
  </cols>
  <sheetData>
    <row r="1" spans="2:8">
      <c r="B1" s="14"/>
      <c r="C1" s="159" t="s">
        <v>75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0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4">
      <c r="B17" s="150" t="s">
        <v>18</v>
      </c>
      <c r="C17" s="151"/>
      <c r="D17" s="151"/>
      <c r="E17" s="151"/>
      <c r="F17" s="151"/>
      <c r="G17" s="151"/>
      <c r="H17" s="152"/>
    </row>
    <row r="18" spans="2:14">
      <c r="B18" s="135" t="s">
        <v>19</v>
      </c>
      <c r="C18" s="136"/>
      <c r="D18" s="136"/>
      <c r="E18" s="136"/>
      <c r="F18" s="136"/>
      <c r="G18" s="136"/>
      <c r="H18" s="137"/>
    </row>
    <row r="19" spans="2:14" ht="25.5">
      <c r="B19" s="17"/>
      <c r="C19" s="11" t="s">
        <v>20</v>
      </c>
      <c r="D19" s="29"/>
      <c r="E19" s="29"/>
      <c r="F19" s="30"/>
      <c r="G19" s="30"/>
      <c r="H19" s="30"/>
    </row>
    <row r="20" spans="2:14">
      <c r="B20" s="10"/>
      <c r="C20" s="13" t="s">
        <v>21</v>
      </c>
      <c r="D20" s="32"/>
      <c r="E20" s="32"/>
      <c r="F20" s="32"/>
      <c r="G20" s="32"/>
      <c r="H20" s="32"/>
      <c r="K20" s="106"/>
      <c r="L20" s="106"/>
      <c r="M20" s="106"/>
      <c r="N20" s="106"/>
    </row>
    <row r="21" spans="2:14">
      <c r="B21" s="150" t="s">
        <v>22</v>
      </c>
      <c r="C21" s="151"/>
      <c r="D21" s="151"/>
      <c r="E21" s="151"/>
      <c r="F21" s="151"/>
      <c r="G21" s="151"/>
      <c r="H21" s="152"/>
      <c r="K21" s="106"/>
      <c r="L21" s="106"/>
      <c r="M21" s="106"/>
      <c r="N21" s="106"/>
    </row>
    <row r="22" spans="2:14">
      <c r="B22" s="135" t="s">
        <v>23</v>
      </c>
      <c r="C22" s="136"/>
      <c r="D22" s="136"/>
      <c r="E22" s="136"/>
      <c r="F22" s="136"/>
      <c r="G22" s="136"/>
      <c r="H22" s="137"/>
      <c r="K22" s="106"/>
      <c r="L22" s="106"/>
      <c r="M22" s="106"/>
      <c r="N22" s="106"/>
    </row>
    <row r="23" spans="2:14" ht="14.25">
      <c r="B23" s="17" t="s">
        <v>24</v>
      </c>
      <c r="C23" s="11" t="s">
        <v>25</v>
      </c>
      <c r="D23" s="57">
        <f>E23*G6</f>
        <v>2.5354987499999999</v>
      </c>
      <c r="E23" s="121">
        <f>0.28569*2</f>
        <v>0.57138</v>
      </c>
      <c r="F23" s="55">
        <f>D23*0.24</f>
        <v>0.6085197</v>
      </c>
      <c r="G23" s="55">
        <f>F23+D23</f>
        <v>3.1440184499999999</v>
      </c>
      <c r="H23" s="55">
        <f>G23/$G$6</f>
        <v>0.70851120000000001</v>
      </c>
      <c r="K23" s="106"/>
      <c r="L23" s="106"/>
      <c r="M23" s="106"/>
      <c r="N23" s="106"/>
    </row>
    <row r="24" spans="2:14">
      <c r="B24" s="40">
        <v>3.2</v>
      </c>
      <c r="C24" s="56" t="s">
        <v>66</v>
      </c>
      <c r="D24" s="117">
        <f>E24*G6</f>
        <v>26.3663825</v>
      </c>
      <c r="E24" s="57">
        <v>5.9417200000000001</v>
      </c>
      <c r="F24" s="55">
        <f>D24*0.24</f>
        <v>6.3279318</v>
      </c>
      <c r="G24" s="55">
        <f>F24+D24</f>
        <v>32.694314300000002</v>
      </c>
      <c r="H24" s="55">
        <f>G24/$G$6</f>
        <v>7.3677328000000006</v>
      </c>
      <c r="K24" s="106"/>
      <c r="L24" s="106"/>
      <c r="M24" s="106"/>
      <c r="N24" s="106"/>
    </row>
    <row r="25" spans="2:14" ht="15">
      <c r="B25" s="10"/>
      <c r="C25" s="13" t="s">
        <v>27</v>
      </c>
      <c r="D25" s="48">
        <f>SUM(D23:D24)</f>
        <v>28.901881249999999</v>
      </c>
      <c r="E25" s="48">
        <f>SUM(E23:E24)</f>
        <v>6.5130999999999997</v>
      </c>
      <c r="F25" s="122">
        <f>SUM(F23:F24)</f>
        <v>6.9364515000000004</v>
      </c>
      <c r="G25" s="123">
        <f>SUM(G23:G24)</f>
        <v>35.838332749999999</v>
      </c>
      <c r="H25" s="123">
        <f>SUM(H23:H24)</f>
        <v>8.0762440000000009</v>
      </c>
      <c r="K25" s="106"/>
      <c r="L25" s="106"/>
      <c r="M25" s="116"/>
      <c r="N25" s="106"/>
    </row>
    <row r="26" spans="2:14">
      <c r="B26" s="150" t="s">
        <v>28</v>
      </c>
      <c r="C26" s="151"/>
      <c r="D26" s="151"/>
      <c r="E26" s="151"/>
      <c r="F26" s="151"/>
      <c r="G26" s="151"/>
      <c r="H26" s="152"/>
      <c r="K26" s="106"/>
      <c r="L26" s="106"/>
      <c r="M26" s="106"/>
      <c r="N26" s="106"/>
    </row>
    <row r="27" spans="2:14">
      <c r="B27" s="135" t="s">
        <v>29</v>
      </c>
      <c r="C27" s="136"/>
      <c r="D27" s="136"/>
      <c r="E27" s="136"/>
      <c r="F27" s="136"/>
      <c r="G27" s="136"/>
      <c r="H27" s="137"/>
      <c r="K27" s="106"/>
      <c r="L27" s="106"/>
      <c r="M27" s="106"/>
      <c r="N27" s="106"/>
    </row>
    <row r="28" spans="2:14">
      <c r="B28" s="41">
        <v>4</v>
      </c>
      <c r="C28" s="42" t="s">
        <v>30</v>
      </c>
      <c r="D28" s="42"/>
      <c r="E28" s="42"/>
      <c r="F28" s="42"/>
      <c r="G28" s="42"/>
      <c r="H28" s="43"/>
      <c r="K28" s="106"/>
      <c r="L28" s="106"/>
      <c r="M28" s="106"/>
      <c r="N28" s="106"/>
    </row>
    <row r="29" spans="2:14">
      <c r="B29" s="17">
        <v>4.0999999999999996</v>
      </c>
      <c r="C29" s="11" t="s">
        <v>31</v>
      </c>
      <c r="D29" s="57">
        <f>E29*G6</f>
        <v>667.96089999999992</v>
      </c>
      <c r="E29" s="57">
        <v>150.5264</v>
      </c>
      <c r="F29" s="55">
        <f>D29*0.24</f>
        <v>160.31061599999998</v>
      </c>
      <c r="G29" s="55">
        <f>F29+D29</f>
        <v>828.27151599999991</v>
      </c>
      <c r="H29" s="55">
        <f>G29/$G$6</f>
        <v>186.65273599999998</v>
      </c>
      <c r="K29" s="106"/>
      <c r="L29" s="106"/>
      <c r="M29" s="106"/>
      <c r="N29" s="106"/>
    </row>
    <row r="30" spans="2:14">
      <c r="B30" s="18">
        <v>4.2</v>
      </c>
      <c r="C30" s="1" t="s">
        <v>32</v>
      </c>
      <c r="D30" s="57">
        <f>E30*G6</f>
        <v>0</v>
      </c>
      <c r="E30" s="57">
        <v>0</v>
      </c>
      <c r="F30" s="55">
        <f>D30*0.24</f>
        <v>0</v>
      </c>
      <c r="G30" s="55">
        <f>F30+D30</f>
        <v>0</v>
      </c>
      <c r="H30" s="55">
        <f>G30/$G$6</f>
        <v>0</v>
      </c>
      <c r="K30" s="106"/>
      <c r="L30" s="106"/>
      <c r="M30" s="106"/>
      <c r="N30" s="106"/>
    </row>
    <row r="31" spans="2:14">
      <c r="B31" s="18">
        <v>4.3</v>
      </c>
      <c r="C31" s="1" t="s">
        <v>33</v>
      </c>
      <c r="D31" s="57">
        <f>E31*G6</f>
        <v>48.111197500000003</v>
      </c>
      <c r="E31" s="57">
        <v>10.84196</v>
      </c>
      <c r="F31" s="55">
        <f>D31*0.24</f>
        <v>11.5466874</v>
      </c>
      <c r="G31" s="55">
        <f>F31+D31</f>
        <v>59.657884899999999</v>
      </c>
      <c r="H31" s="55">
        <f>G31/$G$6</f>
        <v>13.444030399999999</v>
      </c>
      <c r="K31" s="106"/>
      <c r="L31" s="106"/>
      <c r="M31" s="106"/>
      <c r="N31" s="106"/>
    </row>
    <row r="32" spans="2:14">
      <c r="B32" s="19"/>
      <c r="C32" s="12" t="s">
        <v>34</v>
      </c>
      <c r="D32" s="54">
        <f>SUM(D29:D31)</f>
        <v>716.07209749999993</v>
      </c>
      <c r="E32" s="54">
        <f>SUM(E29:E31)</f>
        <v>161.36836</v>
      </c>
      <c r="F32" s="54">
        <f>SUM(F29:F31)</f>
        <v>171.85730339999998</v>
      </c>
      <c r="G32" s="54">
        <f>SUM(G29:G31)</f>
        <v>887.92940089999991</v>
      </c>
      <c r="H32" s="54">
        <f>SUM(H29:H31)</f>
        <v>200.09676639999998</v>
      </c>
      <c r="K32" s="106"/>
      <c r="L32" s="106"/>
      <c r="M32" s="106"/>
      <c r="N32" s="106"/>
    </row>
    <row r="33" spans="2:14">
      <c r="B33" s="144" t="s">
        <v>35</v>
      </c>
      <c r="C33" s="145"/>
      <c r="D33" s="145"/>
      <c r="E33" s="145"/>
      <c r="F33" s="145"/>
      <c r="G33" s="145"/>
      <c r="H33" s="146"/>
      <c r="K33" s="106"/>
      <c r="L33" s="106"/>
      <c r="M33" s="106"/>
      <c r="N33" s="106"/>
    </row>
    <row r="34" spans="2:14">
      <c r="B34" s="147" t="s">
        <v>36</v>
      </c>
      <c r="C34" s="148"/>
      <c r="D34" s="148"/>
      <c r="E34" s="148"/>
      <c r="F34" s="148"/>
      <c r="G34" s="148"/>
      <c r="H34" s="149"/>
      <c r="K34" s="106"/>
      <c r="L34" s="106"/>
      <c r="M34" s="106"/>
      <c r="N34" s="106"/>
    </row>
    <row r="35" spans="2:14">
      <c r="B35" s="21" t="s">
        <v>37</v>
      </c>
      <c r="C35" s="1" t="s">
        <v>38</v>
      </c>
      <c r="D35" s="6"/>
      <c r="E35" s="6"/>
      <c r="F35" s="6"/>
      <c r="G35" s="6"/>
      <c r="H35" s="6"/>
      <c r="K35" s="106"/>
      <c r="L35" s="106"/>
      <c r="M35" s="106"/>
      <c r="N35" s="106"/>
    </row>
    <row r="36" spans="2:14" ht="25.5">
      <c r="B36" s="21" t="s">
        <v>39</v>
      </c>
      <c r="C36" s="1" t="s">
        <v>40</v>
      </c>
      <c r="D36" s="50"/>
      <c r="E36" s="34"/>
      <c r="F36" s="35"/>
      <c r="G36" s="35"/>
      <c r="H36" s="35"/>
      <c r="K36" s="106"/>
      <c r="L36" s="106"/>
      <c r="M36" s="106"/>
      <c r="N36" s="106"/>
    </row>
    <row r="37" spans="2:14" ht="25.5">
      <c r="B37" s="20" t="s">
        <v>41</v>
      </c>
      <c r="C37" s="1" t="s">
        <v>42</v>
      </c>
      <c r="D37" s="34"/>
      <c r="E37" s="34"/>
      <c r="F37" s="35"/>
      <c r="G37" s="35"/>
      <c r="H37" s="35"/>
      <c r="K37" s="106"/>
      <c r="L37" s="106"/>
      <c r="M37" s="106"/>
      <c r="N37" s="106"/>
    </row>
    <row r="38" spans="2:14" ht="25.5">
      <c r="B38" s="21" t="s">
        <v>43</v>
      </c>
      <c r="C38" s="1" t="s">
        <v>44</v>
      </c>
      <c r="D38" s="34"/>
      <c r="E38" s="34"/>
      <c r="F38" s="35"/>
      <c r="G38" s="35"/>
      <c r="H38" s="35"/>
      <c r="K38" s="106"/>
      <c r="L38" s="106"/>
      <c r="M38" s="106"/>
      <c r="N38" s="106"/>
    </row>
    <row r="39" spans="2:14" ht="25.5">
      <c r="B39" s="20" t="s">
        <v>45</v>
      </c>
      <c r="C39" s="1" t="s">
        <v>46</v>
      </c>
      <c r="D39" s="34"/>
      <c r="E39" s="34"/>
      <c r="F39" s="35"/>
      <c r="G39" s="35"/>
      <c r="H39" s="35"/>
      <c r="K39" s="106"/>
      <c r="L39" s="106"/>
      <c r="M39" s="106"/>
      <c r="N39" s="106"/>
    </row>
    <row r="40" spans="2:14">
      <c r="B40" s="20" t="s">
        <v>47</v>
      </c>
      <c r="C40" s="1" t="s">
        <v>48</v>
      </c>
      <c r="D40" s="34"/>
      <c r="E40" s="34"/>
      <c r="F40" s="35"/>
      <c r="G40" s="35"/>
      <c r="H40" s="35"/>
      <c r="K40" s="106"/>
      <c r="L40" s="106"/>
      <c r="M40" s="106"/>
      <c r="N40" s="106"/>
    </row>
    <row r="41" spans="2:14">
      <c r="B41" s="23"/>
      <c r="C41" s="24" t="s">
        <v>49</v>
      </c>
      <c r="D41" s="33"/>
      <c r="E41" s="33"/>
      <c r="F41" s="33"/>
      <c r="G41" s="33"/>
      <c r="H41" s="33"/>
      <c r="K41" s="106"/>
      <c r="L41" s="106"/>
      <c r="M41" s="106"/>
      <c r="N41" s="106"/>
    </row>
    <row r="42" spans="2:14">
      <c r="B42" s="150" t="s">
        <v>50</v>
      </c>
      <c r="C42" s="151"/>
      <c r="D42" s="151"/>
      <c r="E42" s="151"/>
      <c r="F42" s="151"/>
      <c r="G42" s="151"/>
      <c r="H42" s="152"/>
      <c r="K42" s="106"/>
      <c r="L42" s="106"/>
      <c r="M42" s="106"/>
      <c r="N42" s="106"/>
    </row>
    <row r="43" spans="2:14">
      <c r="B43" s="135" t="s">
        <v>51</v>
      </c>
      <c r="C43" s="136"/>
      <c r="D43" s="136"/>
      <c r="E43" s="136"/>
      <c r="F43" s="136"/>
      <c r="G43" s="136"/>
      <c r="H43" s="137"/>
      <c r="K43" s="106"/>
      <c r="L43" s="106"/>
      <c r="M43" s="106"/>
      <c r="N43" s="106"/>
    </row>
    <row r="44" spans="2:14">
      <c r="B44" s="17">
        <v>6.1</v>
      </c>
      <c r="C44" s="11" t="s">
        <v>52</v>
      </c>
      <c r="D44" s="34"/>
      <c r="E44" s="34"/>
      <c r="F44" s="35"/>
      <c r="G44" s="35"/>
      <c r="H44" s="35"/>
      <c r="K44" s="106"/>
      <c r="L44" s="106"/>
      <c r="M44" s="106"/>
      <c r="N44" s="106"/>
    </row>
    <row r="45" spans="2:14">
      <c r="B45" s="18">
        <v>6.2</v>
      </c>
      <c r="C45" s="1" t="s">
        <v>53</v>
      </c>
      <c r="D45" s="34"/>
      <c r="E45" s="34"/>
      <c r="F45" s="35"/>
      <c r="G45" s="35"/>
      <c r="H45" s="35"/>
      <c r="K45" s="106"/>
      <c r="L45" s="106"/>
      <c r="M45" s="106"/>
      <c r="N45" s="106"/>
    </row>
    <row r="46" spans="2:14">
      <c r="B46" s="10"/>
      <c r="C46" s="22" t="s">
        <v>54</v>
      </c>
      <c r="D46" s="36"/>
      <c r="E46" s="36"/>
      <c r="F46" s="36"/>
      <c r="G46" s="36"/>
      <c r="H46" s="36"/>
      <c r="K46" s="106"/>
      <c r="L46" s="106"/>
      <c r="M46" s="106"/>
      <c r="N46" s="106"/>
    </row>
    <row r="47" spans="2:14" ht="15">
      <c r="B47" s="47"/>
      <c r="C47" s="46" t="s">
        <v>55</v>
      </c>
      <c r="D47" s="49">
        <f>D46+D41+D32+D25+D20+D16</f>
        <v>744.9739787499999</v>
      </c>
      <c r="E47" s="49">
        <f>E16+E20+E25+E32+E41</f>
        <v>167.88146</v>
      </c>
      <c r="F47" s="49">
        <f>F16+F20+F25+F32+F41</f>
        <v>178.79375489999998</v>
      </c>
      <c r="G47" s="49">
        <f>G16+G20+G25+G32+G41</f>
        <v>923.76773364999985</v>
      </c>
      <c r="H47" s="49">
        <f>H16+H20+H25+H32+H41</f>
        <v>208.17301039999998</v>
      </c>
      <c r="K47" s="106"/>
      <c r="L47" s="106"/>
      <c r="M47" s="106"/>
      <c r="N47" s="106"/>
    </row>
    <row r="48" spans="2:14" ht="15">
      <c r="B48" s="47"/>
      <c r="C48" s="46" t="s">
        <v>56</v>
      </c>
      <c r="D48" s="49">
        <f>D14+D15+D20+D30+D31+D29+D36</f>
        <v>716.07209749999993</v>
      </c>
      <c r="E48" s="49">
        <f>E14+E15+E20+E29+E30+E31+E36</f>
        <v>161.36836</v>
      </c>
      <c r="F48" s="49">
        <f>F14+F15+F20+F29+F30+F31+F36</f>
        <v>171.85730339999998</v>
      </c>
      <c r="G48" s="49">
        <f>G14+G15+G20+G29+G30+G31+G36</f>
        <v>887.92940089999991</v>
      </c>
      <c r="H48" s="49">
        <f>H14+H15+H20+H29+H30+H31+H36</f>
        <v>200.09676639999998</v>
      </c>
      <c r="K48" s="106"/>
      <c r="L48" s="106"/>
      <c r="M48" s="106"/>
      <c r="N48" s="106"/>
    </row>
    <row r="49" spans="11:14">
      <c r="K49" s="106"/>
      <c r="L49" s="106"/>
      <c r="M49" s="106"/>
      <c r="N49" s="106"/>
    </row>
    <row r="50" spans="11:14">
      <c r="K50" s="106"/>
      <c r="L50" s="106"/>
      <c r="M50" s="106"/>
      <c r="N50" s="106"/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3937499999999999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M58"/>
  <sheetViews>
    <sheetView view="pageBreakPreview" zoomScale="96" zoomScaleSheetLayoutView="96" workbookViewId="0">
      <selection activeCell="C36" sqref="C36"/>
    </sheetView>
  </sheetViews>
  <sheetFormatPr defaultColWidth="9.140625" defaultRowHeight="12.75"/>
  <cols>
    <col min="1" max="1" width="4.140625" customWidth="1"/>
    <col min="2" max="2" width="6" style="14" customWidth="1"/>
    <col min="3" max="3" width="39" customWidth="1"/>
    <col min="4" max="4" width="10.5703125" style="2" customWidth="1"/>
    <col min="5" max="5" width="10" style="2" customWidth="1"/>
    <col min="6" max="6" width="9.28515625" style="3" customWidth="1"/>
    <col min="7" max="7" width="10.5703125" style="2" customWidth="1"/>
    <col min="8" max="8" width="10" style="2" customWidth="1"/>
    <col min="10" max="10" width="11" style="37" bestFit="1" customWidth="1"/>
    <col min="11" max="11" width="14.5703125" bestFit="1" customWidth="1"/>
    <col min="13" max="13" width="14.5703125" bestFit="1" customWidth="1"/>
  </cols>
  <sheetData>
    <row r="1" spans="2:8" ht="12.75" customHeight="1">
      <c r="C1" s="159" t="s">
        <v>76</v>
      </c>
      <c r="D1" s="159"/>
      <c r="E1" s="159"/>
      <c r="F1" s="159"/>
      <c r="G1" s="159"/>
    </row>
    <row r="2" spans="2:8" ht="33" customHeight="1">
      <c r="C2" s="159"/>
      <c r="D2" s="159"/>
      <c r="E2" s="159"/>
      <c r="F2" s="159"/>
      <c r="G2" s="159"/>
    </row>
    <row r="3" spans="2:8" ht="30.75" customHeight="1">
      <c r="C3" s="160"/>
      <c r="D3" s="160"/>
      <c r="E3" s="160"/>
      <c r="F3" s="160"/>
      <c r="G3" s="160"/>
    </row>
    <row r="4" spans="2:8">
      <c r="B4" s="153"/>
      <c r="C4" s="154"/>
      <c r="D4" s="154"/>
      <c r="E4" s="154"/>
      <c r="F4" s="154"/>
    </row>
    <row r="5" spans="2:8">
      <c r="F5" s="25"/>
      <c r="G5" s="26"/>
    </row>
    <row r="6" spans="2:8">
      <c r="F6" s="27" t="s">
        <v>1</v>
      </c>
      <c r="G6" s="28">
        <v>4.4375</v>
      </c>
    </row>
    <row r="7" spans="2:8" ht="12.75" customHeight="1"/>
    <row r="8" spans="2:8" ht="12.75" customHeight="1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 ht="12.75" customHeight="1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0">
      <c r="B17" s="150" t="s">
        <v>18</v>
      </c>
      <c r="C17" s="151"/>
      <c r="D17" s="151"/>
      <c r="E17" s="151"/>
      <c r="F17" s="151"/>
      <c r="G17" s="151"/>
      <c r="H17" s="152"/>
    </row>
    <row r="18" spans="2:10">
      <c r="B18" s="135" t="s">
        <v>19</v>
      </c>
      <c r="C18" s="136"/>
      <c r="D18" s="136"/>
      <c r="E18" s="136"/>
      <c r="F18" s="136"/>
      <c r="G18" s="136"/>
      <c r="H18" s="137"/>
    </row>
    <row r="19" spans="2:10" ht="25.5">
      <c r="B19" s="17"/>
      <c r="C19" s="11" t="s">
        <v>20</v>
      </c>
      <c r="D19" s="29"/>
      <c r="E19" s="29"/>
      <c r="F19" s="30"/>
      <c r="G19" s="30"/>
      <c r="H19" s="30"/>
    </row>
    <row r="20" spans="2:10">
      <c r="B20" s="10"/>
      <c r="C20" s="13" t="s">
        <v>21</v>
      </c>
      <c r="D20" s="32"/>
      <c r="E20" s="32"/>
      <c r="F20" s="32"/>
      <c r="G20" s="32"/>
      <c r="H20" s="32"/>
    </row>
    <row r="21" spans="2:10">
      <c r="B21" s="150" t="s">
        <v>22</v>
      </c>
      <c r="C21" s="151"/>
      <c r="D21" s="151"/>
      <c r="E21" s="151"/>
      <c r="F21" s="151"/>
      <c r="G21" s="151"/>
      <c r="H21" s="152"/>
    </row>
    <row r="22" spans="2:10">
      <c r="B22" s="135" t="s">
        <v>77</v>
      </c>
      <c r="C22" s="136"/>
      <c r="D22" s="136"/>
      <c r="E22" s="136"/>
      <c r="F22" s="136"/>
      <c r="G22" s="136"/>
      <c r="H22" s="137"/>
    </row>
    <row r="23" spans="2:10">
      <c r="B23" s="17" t="s">
        <v>24</v>
      </c>
      <c r="C23" s="11" t="s">
        <v>25</v>
      </c>
      <c r="D23" s="57">
        <f>E23*G6</f>
        <v>0.35162750000000004</v>
      </c>
      <c r="E23" s="57">
        <f>0.03962*2</f>
        <v>7.9240000000000005E-2</v>
      </c>
      <c r="F23" s="55">
        <f>D23*0.24</f>
        <v>8.439060000000001E-2</v>
      </c>
      <c r="G23" s="55">
        <f>F23+D23</f>
        <v>0.43601810000000008</v>
      </c>
      <c r="H23" s="55">
        <f>G23/$G$6</f>
        <v>9.8257600000000014E-2</v>
      </c>
    </row>
    <row r="24" spans="2:10">
      <c r="B24" s="40" t="s">
        <v>62</v>
      </c>
      <c r="C24" s="56" t="s">
        <v>26</v>
      </c>
      <c r="D24" s="117">
        <f>E24*G6</f>
        <v>3.6568993750000001</v>
      </c>
      <c r="E24" s="117">
        <v>0.82408999999999999</v>
      </c>
      <c r="F24" s="55">
        <f>D24*0.24</f>
        <v>0.87765585000000002</v>
      </c>
      <c r="G24" s="55">
        <f>F24+D24</f>
        <v>4.5345552250000001</v>
      </c>
      <c r="H24" s="55">
        <f>G24/$G$6</f>
        <v>1.0218716000000001</v>
      </c>
      <c r="J24" s="44"/>
    </row>
    <row r="25" spans="2:10">
      <c r="B25" s="10"/>
      <c r="C25" s="13" t="s">
        <v>27</v>
      </c>
      <c r="D25" s="48">
        <f>SUM(D23:D24)</f>
        <v>4.0085268750000003</v>
      </c>
      <c r="E25" s="48">
        <f>SUM(E23:E24)</f>
        <v>0.90332999999999997</v>
      </c>
      <c r="F25" s="48">
        <f>SUM(F23:F24)</f>
        <v>0.96204645</v>
      </c>
      <c r="G25" s="48">
        <f>SUM(G23:G24)</f>
        <v>4.9705733250000002</v>
      </c>
      <c r="H25" s="48">
        <f>SUM(H23:H24)</f>
        <v>1.1201292</v>
      </c>
    </row>
    <row r="26" spans="2:10">
      <c r="B26" s="150" t="s">
        <v>28</v>
      </c>
      <c r="C26" s="151"/>
      <c r="D26" s="151"/>
      <c r="E26" s="151"/>
      <c r="F26" s="151"/>
      <c r="G26" s="151"/>
      <c r="H26" s="152"/>
    </row>
    <row r="27" spans="2:10">
      <c r="B27" s="135" t="s">
        <v>29</v>
      </c>
      <c r="C27" s="136"/>
      <c r="D27" s="136"/>
      <c r="E27" s="136"/>
      <c r="F27" s="136"/>
      <c r="G27" s="136"/>
      <c r="H27" s="137"/>
    </row>
    <row r="28" spans="2:10">
      <c r="B28" s="41">
        <v>4</v>
      </c>
      <c r="C28" s="42" t="s">
        <v>30</v>
      </c>
      <c r="D28" s="42"/>
      <c r="E28" s="42"/>
      <c r="F28" s="42"/>
      <c r="G28" s="42"/>
      <c r="H28" s="43"/>
      <c r="J28" s="44"/>
    </row>
    <row r="29" spans="2:10" ht="25.5">
      <c r="B29" s="17">
        <v>4.0999999999999996</v>
      </c>
      <c r="C29" s="11" t="s">
        <v>31</v>
      </c>
      <c r="D29" s="57">
        <f>E29*G6</f>
        <v>89.777458749999994</v>
      </c>
      <c r="E29" s="57">
        <v>20.231539999999999</v>
      </c>
      <c r="F29" s="55">
        <f>D29*0.24</f>
        <v>21.546590099999996</v>
      </c>
      <c r="G29" s="55">
        <f>F29+D29</f>
        <v>111.32404885</v>
      </c>
      <c r="H29" s="55">
        <f>G29/$G$6</f>
        <v>25.087109599999998</v>
      </c>
    </row>
    <row r="30" spans="2:10">
      <c r="B30" s="18">
        <v>4.2</v>
      </c>
      <c r="C30" s="1" t="s">
        <v>32</v>
      </c>
      <c r="D30" s="57">
        <v>0</v>
      </c>
      <c r="E30" s="57">
        <f>D30/$G$6</f>
        <v>0</v>
      </c>
      <c r="F30" s="55">
        <f>D30*0.24</f>
        <v>0</v>
      </c>
      <c r="G30" s="55">
        <f>F30+D30</f>
        <v>0</v>
      </c>
      <c r="H30" s="55">
        <f>G30/$G$6</f>
        <v>0</v>
      </c>
    </row>
    <row r="31" spans="2:10" ht="13.5" customHeight="1">
      <c r="B31" s="18">
        <v>4.3</v>
      </c>
      <c r="C31" s="1" t="s">
        <v>33</v>
      </c>
      <c r="D31" s="57">
        <v>0</v>
      </c>
      <c r="E31" s="57">
        <f>D31/$G$6</f>
        <v>0</v>
      </c>
      <c r="F31" s="55">
        <f>D31*0.24</f>
        <v>0</v>
      </c>
      <c r="G31" s="55">
        <f>F31+D31</f>
        <v>0</v>
      </c>
      <c r="H31" s="55">
        <f>G31/$G$6</f>
        <v>0</v>
      </c>
    </row>
    <row r="32" spans="2:10" ht="13.5" customHeight="1">
      <c r="B32" s="19"/>
      <c r="C32" s="12" t="s">
        <v>34</v>
      </c>
      <c r="D32" s="54">
        <f>SUM(D29:D31)</f>
        <v>89.777458749999994</v>
      </c>
      <c r="E32" s="54">
        <f>SUM(E29:E31)</f>
        <v>20.231539999999999</v>
      </c>
      <c r="F32" s="54">
        <f>SUM(F29:F31)</f>
        <v>21.546590099999996</v>
      </c>
      <c r="G32" s="54">
        <f>SUM(G29:G31)</f>
        <v>111.32404885</v>
      </c>
      <c r="H32" s="54">
        <f>SUM(H29:H31)</f>
        <v>25.087109599999998</v>
      </c>
    </row>
    <row r="33" spans="2:13" ht="13.5" customHeight="1">
      <c r="B33" s="144" t="s">
        <v>35</v>
      </c>
      <c r="C33" s="145"/>
      <c r="D33" s="145"/>
      <c r="E33" s="145"/>
      <c r="F33" s="145"/>
      <c r="G33" s="145"/>
      <c r="H33" s="146"/>
    </row>
    <row r="34" spans="2:13" ht="12.75" customHeight="1">
      <c r="B34" s="147" t="s">
        <v>36</v>
      </c>
      <c r="C34" s="148"/>
      <c r="D34" s="148"/>
      <c r="E34" s="148"/>
      <c r="F34" s="148"/>
      <c r="G34" s="148"/>
      <c r="H34" s="149"/>
    </row>
    <row r="35" spans="2:13" ht="13.5" customHeight="1">
      <c r="B35" s="21" t="s">
        <v>37</v>
      </c>
      <c r="C35" s="1" t="s">
        <v>38</v>
      </c>
      <c r="D35" s="6"/>
      <c r="E35" s="6"/>
      <c r="F35" s="6"/>
      <c r="G35" s="6"/>
      <c r="H35" s="6"/>
    </row>
    <row r="36" spans="2:13" ht="14.1" customHeight="1">
      <c r="B36" s="21" t="s">
        <v>39</v>
      </c>
      <c r="C36" s="1" t="s">
        <v>40</v>
      </c>
      <c r="D36" s="34"/>
      <c r="E36" s="34"/>
      <c r="F36" s="35"/>
      <c r="G36" s="35"/>
      <c r="H36" s="35"/>
    </row>
    <row r="37" spans="2:13">
      <c r="B37" s="20" t="s">
        <v>41</v>
      </c>
      <c r="C37" s="1" t="s">
        <v>78</v>
      </c>
      <c r="D37" s="34"/>
      <c r="E37" s="34"/>
      <c r="F37" s="35"/>
      <c r="G37" s="35"/>
      <c r="H37" s="35"/>
    </row>
    <row r="38" spans="2:13">
      <c r="B38" s="21" t="s">
        <v>43</v>
      </c>
      <c r="C38" s="1" t="s">
        <v>44</v>
      </c>
      <c r="D38" s="34"/>
      <c r="E38" s="34"/>
      <c r="F38" s="35"/>
      <c r="G38" s="35"/>
      <c r="H38" s="35"/>
    </row>
    <row r="39" spans="2:13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13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13">
      <c r="B41" s="23"/>
      <c r="C41" s="24" t="s">
        <v>49</v>
      </c>
      <c r="D41" s="33"/>
      <c r="E41" s="33"/>
      <c r="F41" s="33"/>
      <c r="G41" s="33"/>
      <c r="H41" s="33"/>
    </row>
    <row r="42" spans="2:13">
      <c r="B42" s="150" t="s">
        <v>50</v>
      </c>
      <c r="C42" s="151"/>
      <c r="D42" s="151"/>
      <c r="E42" s="151"/>
      <c r="F42" s="151"/>
      <c r="G42" s="151"/>
      <c r="H42" s="152"/>
    </row>
    <row r="43" spans="2:13">
      <c r="B43" s="135" t="s">
        <v>51</v>
      </c>
      <c r="C43" s="136"/>
      <c r="D43" s="136"/>
      <c r="E43" s="136"/>
      <c r="F43" s="136"/>
      <c r="G43" s="136"/>
      <c r="H43" s="137"/>
    </row>
    <row r="44" spans="2:13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13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13">
      <c r="B46" s="10"/>
      <c r="C46" s="22" t="s">
        <v>79</v>
      </c>
      <c r="D46" s="36"/>
      <c r="E46" s="36"/>
      <c r="F46" s="36"/>
      <c r="G46" s="36"/>
      <c r="H46" s="36"/>
    </row>
    <row r="47" spans="2:13" s="38" customFormat="1" ht="15">
      <c r="B47" s="47"/>
      <c r="C47" s="46" t="s">
        <v>55</v>
      </c>
      <c r="D47" s="49">
        <f>D46+D41+D32+D25+D20+D16</f>
        <v>93.785985624999995</v>
      </c>
      <c r="E47" s="49">
        <f>E16+E20+E25+E32+E41</f>
        <v>21.134869999999999</v>
      </c>
      <c r="F47" s="49">
        <f>F16+F20+F25+F32+F41</f>
        <v>22.508636549999995</v>
      </c>
      <c r="G47" s="49">
        <f>G16+G20+G25+G32+G41</f>
        <v>116.294622175</v>
      </c>
      <c r="H47" s="49">
        <f>H16+H20+H25+H32+H41</f>
        <v>26.207238799999999</v>
      </c>
      <c r="J47" s="39"/>
    </row>
    <row r="48" spans="2:13" s="38" customFormat="1" ht="15">
      <c r="B48" s="47"/>
      <c r="C48" s="46" t="s">
        <v>56</v>
      </c>
      <c r="D48" s="49">
        <f>D14+D15+D20+D30+D31+D29+D36</f>
        <v>89.777458749999994</v>
      </c>
      <c r="E48" s="49">
        <f>E14+E15+E20+E29+E30+E31+E36</f>
        <v>20.231539999999999</v>
      </c>
      <c r="F48" s="49">
        <f>F14+F15+F20+F29+F30+F31+F36</f>
        <v>21.546590099999996</v>
      </c>
      <c r="G48" s="49">
        <f>G14+G15+G20+G29+G30+G31+G36</f>
        <v>111.32404885</v>
      </c>
      <c r="H48" s="49">
        <f>H14+H15+H20+H29+H30+H31+H36</f>
        <v>25.087109599999998</v>
      </c>
      <c r="J48" s="53">
        <f>D47/G6</f>
        <v>21.134869999999999</v>
      </c>
      <c r="K48" s="38">
        <f>J48*1.24</f>
        <v>26.207238799999999</v>
      </c>
      <c r="M48" s="38">
        <f>D47+F47</f>
        <v>116.29462217499999</v>
      </c>
    </row>
    <row r="49" spans="3:13">
      <c r="M49">
        <f>D48+F48</f>
        <v>111.32404885</v>
      </c>
    </row>
    <row r="50" spans="3:13">
      <c r="J50" s="52">
        <f>E48*1.24</f>
        <v>25.087109599999998</v>
      </c>
    </row>
    <row r="51" spans="3:13">
      <c r="C51" s="5"/>
      <c r="F51" s="4"/>
      <c r="G51" s="5"/>
      <c r="J51" s="51">
        <f>D48/G6</f>
        <v>20.231539999999999</v>
      </c>
    </row>
    <row r="54" spans="3:13">
      <c r="C54" s="8"/>
    </row>
    <row r="56" spans="3:13">
      <c r="E56" s="5"/>
    </row>
    <row r="57" spans="3:13">
      <c r="E57" s="3"/>
      <c r="F57" s="2"/>
      <c r="H57"/>
    </row>
    <row r="58" spans="3:13">
      <c r="C58" s="7" t="s">
        <v>58</v>
      </c>
      <c r="E58" s="5"/>
      <c r="F58"/>
      <c r="G58"/>
      <c r="H58"/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78749999999999998" right="0.19652777777777777" top="0.51111111111111107" bottom="0.66736111111111107" header="0.51111111111111107" footer="0.51111111111111107"/>
  <pageSetup paperSize="9" scale="95" firstPageNumber="429496319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B050"/>
  </sheetPr>
  <dimension ref="B1:J50"/>
  <sheetViews>
    <sheetView view="pageBreakPreview" zoomScaleSheetLayoutView="100" workbookViewId="0">
      <selection activeCell="J13" sqref="J13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85546875" style="60" customWidth="1"/>
    <col min="6" max="6" width="8.5703125" style="60" customWidth="1"/>
    <col min="7" max="7" width="10.140625" style="60" bestFit="1" customWidth="1"/>
    <col min="8" max="8" width="8.5703125" style="60" customWidth="1"/>
    <col min="9" max="9" width="9.140625" style="60"/>
    <col min="10" max="10" width="15.5703125" style="60" customWidth="1"/>
    <col min="11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94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6.3100031999999997</v>
      </c>
      <c r="E23" s="118">
        <f>0.7008*2</f>
        <v>1.4016</v>
      </c>
      <c r="F23" s="119">
        <f>D23*0.2</f>
        <v>1.2620006400000001</v>
      </c>
      <c r="G23" s="119">
        <f>F23+D23</f>
        <v>7.5720038399999998</v>
      </c>
      <c r="H23" s="119">
        <f>G23/$G$6</f>
        <v>1.6819200000000001</v>
      </c>
    </row>
    <row r="24" spans="2:8">
      <c r="B24" s="79">
        <v>3.2</v>
      </c>
      <c r="C24" s="80" t="s">
        <v>66</v>
      </c>
      <c r="D24" s="120">
        <f>E24*G6</f>
        <v>65.554837539999994</v>
      </c>
      <c r="E24" s="120">
        <v>14.56127</v>
      </c>
      <c r="F24" s="119">
        <f>D24*0.2</f>
        <v>13.110967508</v>
      </c>
      <c r="G24" s="119">
        <f>F24+D24</f>
        <v>78.665805047999996</v>
      </c>
      <c r="H24" s="119">
        <f>G24/$G$6</f>
        <v>17.473524000000001</v>
      </c>
    </row>
    <row r="25" spans="2:8">
      <c r="B25" s="76"/>
      <c r="C25" s="77" t="s">
        <v>27</v>
      </c>
      <c r="D25" s="81">
        <f>SUM(D23:D24)</f>
        <v>71.864840739999991</v>
      </c>
      <c r="E25" s="81">
        <f>SUM(E23:E24)</f>
        <v>15.962870000000001</v>
      </c>
      <c r="F25" s="81">
        <f>SUM(F23:F23)</f>
        <v>1.2620006400000001</v>
      </c>
      <c r="G25" s="81">
        <f>SUM(G23:G23)</f>
        <v>7.5720038399999998</v>
      </c>
      <c r="H25" s="81">
        <f>SUM(H23:H23)</f>
        <v>1.6819200000000001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1538.7216524800001</v>
      </c>
      <c r="E29" s="105">
        <f>'[2]Lista 28-gabor aron'!$O$156/1000</f>
        <v>341.78624000000002</v>
      </c>
      <c r="F29" s="119">
        <f>D29*0.2</f>
        <v>307.74433049600003</v>
      </c>
      <c r="G29" s="119">
        <f>F29+D29</f>
        <v>1846.4659829760001</v>
      </c>
      <c r="H29" s="119">
        <f>G29/$G$6</f>
        <v>410.14348800000005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101.07966934000001</v>
      </c>
      <c r="E31" s="105">
        <f>'[2]Lista 28-gabor aron'!$Q$156/1000</f>
        <v>22.452170000000002</v>
      </c>
      <c r="F31" s="119">
        <f>D31*0.2</f>
        <v>20.215933868000004</v>
      </c>
      <c r="G31" s="119">
        <f>F31+D31</f>
        <v>121.29560320800002</v>
      </c>
      <c r="H31" s="119">
        <f>G31/$G$6</f>
        <v>26.942604000000006</v>
      </c>
    </row>
    <row r="32" spans="2:8">
      <c r="B32" s="85"/>
      <c r="C32" s="86" t="s">
        <v>34</v>
      </c>
      <c r="D32" s="105">
        <f>SUM(D29:D31)</f>
        <v>1639.8013218200001</v>
      </c>
      <c r="E32" s="105">
        <f>SUM(E29:E31)</f>
        <v>364.23841000000004</v>
      </c>
      <c r="F32" s="105">
        <f>SUM(F29:F31)</f>
        <v>327.96026436400001</v>
      </c>
      <c r="G32" s="105">
        <f>SUM(G29:G31)</f>
        <v>1967.7615861840002</v>
      </c>
      <c r="H32" s="105">
        <f>SUM(H29:H31)</f>
        <v>437.08609200000006</v>
      </c>
    </row>
    <row r="33" spans="2:10">
      <c r="B33" s="198" t="s">
        <v>35</v>
      </c>
      <c r="C33" s="199"/>
      <c r="D33" s="199"/>
      <c r="E33" s="199"/>
      <c r="F33" s="199"/>
      <c r="G33" s="199"/>
      <c r="H33" s="200"/>
    </row>
    <row r="34" spans="2:10">
      <c r="B34" s="168" t="s">
        <v>36</v>
      </c>
      <c r="C34" s="169"/>
      <c r="D34" s="169"/>
      <c r="E34" s="169"/>
      <c r="F34" s="169"/>
      <c r="G34" s="169"/>
      <c r="H34" s="170"/>
    </row>
    <row r="35" spans="2:10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10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10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10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10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10">
      <c r="B40" s="95" t="s">
        <v>47</v>
      </c>
      <c r="C40" s="74" t="s">
        <v>48</v>
      </c>
      <c r="D40" s="92"/>
      <c r="E40" s="92">
        <f>(E29+E30+E31)*0.1</f>
        <v>36.423841000000003</v>
      </c>
      <c r="F40" s="93"/>
      <c r="G40" s="93"/>
      <c r="H40" s="93"/>
    </row>
    <row r="41" spans="2:10">
      <c r="B41" s="96"/>
      <c r="C41" s="97" t="s">
        <v>49</v>
      </c>
      <c r="D41" s="98"/>
      <c r="E41" s="98">
        <f>SUM(E35:E40)</f>
        <v>36.423841000000003</v>
      </c>
      <c r="F41" s="98"/>
      <c r="G41" s="98"/>
      <c r="H41" s="98"/>
    </row>
    <row r="42" spans="2:10">
      <c r="B42" s="171" t="s">
        <v>50</v>
      </c>
      <c r="C42" s="172"/>
      <c r="D42" s="172"/>
      <c r="E42" s="172"/>
      <c r="F42" s="172"/>
      <c r="G42" s="172"/>
      <c r="H42" s="173"/>
    </row>
    <row r="43" spans="2:10">
      <c r="B43" s="191" t="s">
        <v>51</v>
      </c>
      <c r="C43" s="192"/>
      <c r="D43" s="192"/>
      <c r="E43" s="192"/>
      <c r="F43" s="192"/>
      <c r="G43" s="192"/>
      <c r="H43" s="193"/>
    </row>
    <row r="44" spans="2:10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10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10">
      <c r="B46" s="76"/>
      <c r="C46" s="99" t="s">
        <v>54</v>
      </c>
      <c r="D46" s="100"/>
      <c r="E46" s="100"/>
      <c r="F46" s="100"/>
      <c r="G46" s="100"/>
      <c r="H46" s="100"/>
    </row>
    <row r="47" spans="2:10" ht="15">
      <c r="B47" s="101"/>
      <c r="C47" s="102" t="s">
        <v>55</v>
      </c>
      <c r="D47" s="103">
        <f>D46+D41+D32+D25+D20+D16</f>
        <v>1711.6661625600002</v>
      </c>
      <c r="E47" s="103">
        <f>E16+E20+E25+E32+E41</f>
        <v>416.62512100000004</v>
      </c>
      <c r="F47" s="103">
        <f>F16+F20+F25+F32+F41</f>
        <v>329.22226500400001</v>
      </c>
      <c r="G47" s="103">
        <f>G16+G20+G25+G32+G41</f>
        <v>1975.3335900240002</v>
      </c>
      <c r="H47" s="103">
        <f>H16+H20+H25+H32+H41</f>
        <v>438.76801200000006</v>
      </c>
    </row>
    <row r="48" spans="2:10" ht="15">
      <c r="B48" s="101"/>
      <c r="C48" s="102" t="s">
        <v>56</v>
      </c>
      <c r="D48" s="103">
        <f>D14+D15+D20+D30+D31+D29+D36</f>
        <v>1639.8013218200001</v>
      </c>
      <c r="E48" s="128">
        <f>E14+E15+E20+E29+E30+E31+E36</f>
        <v>364.23841000000004</v>
      </c>
      <c r="F48" s="103">
        <f>F14+F15+F20+F29+F30+F31+F36</f>
        <v>327.96026436400001</v>
      </c>
      <c r="G48" s="103">
        <f>G14+G15+G20+G29+G30+G31+G36</f>
        <v>1967.7615861840002</v>
      </c>
      <c r="H48" s="103">
        <f>H14+H15+H20+H29+H30+H31+H36</f>
        <v>437.08609200000006</v>
      </c>
      <c r="J48" s="103">
        <v>364238.41</v>
      </c>
    </row>
    <row r="49" spans="2:10" ht="12.75" customHeight="1">
      <c r="B49" s="202" t="s">
        <v>101</v>
      </c>
      <c r="C49" s="202"/>
      <c r="D49" s="129"/>
      <c r="E49" s="130">
        <v>1.0840293192459021</v>
      </c>
      <c r="F49" s="129"/>
      <c r="G49" s="129"/>
      <c r="H49" s="129"/>
      <c r="J49" s="60">
        <v>72847.680000000008</v>
      </c>
    </row>
    <row r="50" spans="2:10" ht="12.75" customHeight="1">
      <c r="B50" s="203" t="s">
        <v>102</v>
      </c>
      <c r="C50" s="202"/>
      <c r="D50" s="129"/>
      <c r="E50" s="131">
        <f>(J48-J49)*E49+J49</f>
        <v>388723.77467646642</v>
      </c>
      <c r="F50" s="129"/>
      <c r="G50" s="129"/>
      <c r="H50" s="129"/>
      <c r="J50" s="127">
        <f>J48-J49</f>
        <v>291390.73</v>
      </c>
    </row>
  </sheetData>
  <mergeCells count="21">
    <mergeCell ref="B34:H34"/>
    <mergeCell ref="B49:C49"/>
    <mergeCell ref="B50:C50"/>
    <mergeCell ref="C1:G3"/>
    <mergeCell ref="B4:F4"/>
    <mergeCell ref="B8:B10"/>
    <mergeCell ref="C8:C10"/>
    <mergeCell ref="D8:E9"/>
    <mergeCell ref="F8:F9"/>
    <mergeCell ref="G8:H9"/>
    <mergeCell ref="B26:H26"/>
    <mergeCell ref="B43:H43"/>
    <mergeCell ref="C11:H11"/>
    <mergeCell ref="C12:H12"/>
    <mergeCell ref="B17:H17"/>
    <mergeCell ref="B18:H18"/>
    <mergeCell ref="B21:H21"/>
    <mergeCell ref="B22:H22"/>
    <mergeCell ref="B42:H42"/>
    <mergeCell ref="B27:H27"/>
    <mergeCell ref="B33:H33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B050"/>
  </sheetPr>
  <dimension ref="B1:K51"/>
  <sheetViews>
    <sheetView view="pageBreakPreview" topLeftCell="A34" zoomScaleSheetLayoutView="100" workbookViewId="0">
      <selection activeCell="H7" sqref="H7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2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206" t="s">
        <v>93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0.69213747999999986</v>
      </c>
      <c r="E23" s="118">
        <f>0.07687*2</f>
        <v>0.15373999999999999</v>
      </c>
      <c r="F23" s="119">
        <f>D23*0.2</f>
        <v>0.13842749599999998</v>
      </c>
      <c r="G23" s="119">
        <f>F23+D23</f>
        <v>0.83056497599999979</v>
      </c>
      <c r="H23" s="119">
        <f>G23/$G$6</f>
        <v>0.18448799999999996</v>
      </c>
    </row>
    <row r="24" spans="2:8">
      <c r="B24" s="79">
        <v>3.2</v>
      </c>
      <c r="C24" s="80" t="s">
        <v>66</v>
      </c>
      <c r="D24" s="120">
        <f>E24*G6</f>
        <v>10.269152039999998</v>
      </c>
      <c r="E24" s="120">
        <v>2.2810199999999998</v>
      </c>
      <c r="F24" s="119">
        <f>D24*0.2</f>
        <v>2.0538304079999996</v>
      </c>
      <c r="G24" s="119">
        <f>F24+D24</f>
        <v>12.322982447999998</v>
      </c>
      <c r="H24" s="119">
        <f>G24/$G$6</f>
        <v>2.7372239999999994</v>
      </c>
    </row>
    <row r="25" spans="2:8">
      <c r="B25" s="76"/>
      <c r="C25" s="77" t="s">
        <v>27</v>
      </c>
      <c r="D25" s="81">
        <f>SUM(D23:D24)</f>
        <v>10.961289519999998</v>
      </c>
      <c r="E25" s="81">
        <f>SUM(E23:E24)</f>
        <v>2.4347599999999998</v>
      </c>
      <c r="F25" s="81">
        <f>SUM(F23:F23)</f>
        <v>0.13842749599999998</v>
      </c>
      <c r="G25" s="81">
        <f>SUM(G23:G23)</f>
        <v>0.83056497599999979</v>
      </c>
      <c r="H25" s="81">
        <f>SUM(H23:H23)</f>
        <v>0.18448799999999996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0</v>
      </c>
      <c r="E29" s="105">
        <v>0</v>
      </c>
      <c r="F29" s="119">
        <f>D29*0.2</f>
        <v>0</v>
      </c>
      <c r="G29" s="119">
        <f>F29+D29</f>
        <v>0</v>
      </c>
      <c r="H29" s="119">
        <f>G29/$G$6</f>
        <v>0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1718.9478324199997</v>
      </c>
      <c r="E31" s="105">
        <f>'[2]Lista 30-p-cartier simeria'!$F$226/1000</f>
        <v>381.81870999999995</v>
      </c>
      <c r="F31" s="119">
        <f>D31*0.2</f>
        <v>343.78956648399998</v>
      </c>
      <c r="G31" s="119">
        <f>F31+D31</f>
        <v>2062.7373989039997</v>
      </c>
      <c r="H31" s="119">
        <f>G31/$G$6</f>
        <v>458.18245199999996</v>
      </c>
    </row>
    <row r="32" spans="2:8">
      <c r="B32" s="85"/>
      <c r="C32" s="86" t="s">
        <v>34</v>
      </c>
      <c r="D32" s="105">
        <f>SUM(D29:D31)</f>
        <v>1718.9478324199997</v>
      </c>
      <c r="E32" s="105">
        <f>SUM(E29:E31)</f>
        <v>381.81870999999995</v>
      </c>
      <c r="F32" s="105">
        <f>SUM(F29:F31)</f>
        <v>343.78956648399998</v>
      </c>
      <c r="G32" s="105">
        <f>SUM(G29:G31)</f>
        <v>2062.7373989039997</v>
      </c>
      <c r="H32" s="105">
        <f>SUM(H29:H31)</f>
        <v>458.18245199999996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>
        <f>0.1*(E29+E30+E31)</f>
        <v>38.181870999999994</v>
      </c>
      <c r="F40" s="93"/>
      <c r="G40" s="93"/>
      <c r="H40" s="93"/>
    </row>
    <row r="41" spans="2:8">
      <c r="B41" s="96"/>
      <c r="C41" s="97" t="s">
        <v>49</v>
      </c>
      <c r="D41" s="98"/>
      <c r="E41" s="98">
        <f>SUM(E35:E40)</f>
        <v>38.181870999999994</v>
      </c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1729.9091219399997</v>
      </c>
      <c r="E47" s="103">
        <f>E16+E20+E25+E32+E41</f>
        <v>422.43534099999994</v>
      </c>
      <c r="F47" s="103">
        <f>F16+F20+F25+F32+F41</f>
        <v>343.92799398</v>
      </c>
      <c r="G47" s="103">
        <f>G16+G20+G25+G32+G41</f>
        <v>2063.5679638799998</v>
      </c>
      <c r="H47" s="103">
        <f>H16+H20+H25+H32+H41</f>
        <v>458.36693999999994</v>
      </c>
    </row>
    <row r="48" spans="2:8" ht="15">
      <c r="B48" s="101"/>
      <c r="C48" s="102" t="s">
        <v>56</v>
      </c>
      <c r="D48" s="103">
        <f>D14+D15+D20+D30+D31+D29+D36</f>
        <v>1718.9478324199997</v>
      </c>
      <c r="E48" s="103">
        <f>E14+E15+E20+E29+E30+E31+E36</f>
        <v>381.81870999999995</v>
      </c>
      <c r="F48" s="103">
        <f>F14+F15+F20+F29+F30+F31+F36</f>
        <v>343.78956648399998</v>
      </c>
      <c r="G48" s="103">
        <f>G14+G15+G20+G29+G30+G31+G36</f>
        <v>2062.7373989039997</v>
      </c>
      <c r="H48" s="103">
        <f>H14+H15+H20+H29+H30+H31+H36</f>
        <v>458.18245199999996</v>
      </c>
    </row>
    <row r="49" spans="2:11" ht="15">
      <c r="B49" s="204" t="s">
        <v>101</v>
      </c>
      <c r="C49" s="204"/>
      <c r="D49" s="129"/>
      <c r="E49" s="133">
        <v>1.091088438963473</v>
      </c>
      <c r="F49" s="129"/>
      <c r="G49" s="129"/>
      <c r="H49" s="129"/>
      <c r="K49" s="132">
        <v>195541.12</v>
      </c>
    </row>
    <row r="50" spans="2:11" ht="15">
      <c r="B50" s="204" t="s">
        <v>101</v>
      </c>
      <c r="C50" s="204"/>
      <c r="D50" s="129"/>
      <c r="E50" s="133">
        <v>1.0903079228170436</v>
      </c>
      <c r="F50" s="129"/>
      <c r="G50" s="129"/>
      <c r="H50" s="129"/>
      <c r="K50" s="132">
        <v>168624.97</v>
      </c>
    </row>
    <row r="51" spans="2:11" ht="15">
      <c r="B51" s="205" t="s">
        <v>103</v>
      </c>
      <c r="C51" s="204"/>
      <c r="D51" s="129"/>
      <c r="E51" s="134">
        <f>E49*K49+E50*K50</f>
        <v>397205.79614975548</v>
      </c>
      <c r="F51" s="129"/>
      <c r="G51" s="129"/>
      <c r="H51" s="129"/>
    </row>
  </sheetData>
  <mergeCells count="22">
    <mergeCell ref="B33:H33"/>
    <mergeCell ref="B34:H34"/>
    <mergeCell ref="B49:C49"/>
    <mergeCell ref="B51:C51"/>
    <mergeCell ref="B50:C50"/>
    <mergeCell ref="C1:G3"/>
    <mergeCell ref="B4:F4"/>
    <mergeCell ref="B8:B10"/>
    <mergeCell ref="C8:C10"/>
    <mergeCell ref="D8:E9"/>
    <mergeCell ref="F8:F9"/>
    <mergeCell ref="G8:H9"/>
    <mergeCell ref="B43:H43"/>
    <mergeCell ref="C11:H11"/>
    <mergeCell ref="C12:H12"/>
    <mergeCell ref="B17:H17"/>
    <mergeCell ref="B18:H18"/>
    <mergeCell ref="B21:H21"/>
    <mergeCell ref="B42:H42"/>
    <mergeCell ref="B22:H22"/>
    <mergeCell ref="B26:H26"/>
    <mergeCell ref="B27:H27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61"/>
  <sheetViews>
    <sheetView view="pageBreakPreview" topLeftCell="A40" zoomScale="118" zoomScaleSheetLayoutView="118" workbookViewId="0">
      <selection activeCell="C36" sqref="C36"/>
    </sheetView>
  </sheetViews>
  <sheetFormatPr defaultColWidth="9.140625" defaultRowHeight="12.75"/>
  <cols>
    <col min="1" max="1" width="4.140625" customWidth="1"/>
    <col min="2" max="2" width="6" customWidth="1"/>
    <col min="3" max="3" width="38.7109375" customWidth="1"/>
    <col min="4" max="4" width="11.85546875" customWidth="1"/>
    <col min="5" max="5" width="11.85546875" bestFit="1" customWidth="1"/>
    <col min="6" max="6" width="9.42578125" bestFit="1" customWidth="1"/>
    <col min="7" max="7" width="9.5703125" customWidth="1"/>
    <col min="8" max="8" width="8.5703125" customWidth="1"/>
    <col min="10" max="12" width="13" bestFit="1" customWidth="1"/>
  </cols>
  <sheetData>
    <row r="1" spans="2:8">
      <c r="B1" s="14"/>
      <c r="C1" s="159" t="s">
        <v>57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6" customHeight="1">
      <c r="B3" s="14"/>
      <c r="C3" s="201"/>
      <c r="D3" s="201"/>
      <c r="E3" s="201"/>
      <c r="F3" s="201"/>
      <c r="G3" s="201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 ht="18" customHeight="1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 ht="20.100000000000001" customHeight="1">
      <c r="B16" s="10"/>
      <c r="C16" s="13" t="s">
        <v>17</v>
      </c>
      <c r="D16" s="32"/>
      <c r="E16" s="32"/>
      <c r="F16" s="32"/>
      <c r="G16" s="32"/>
      <c r="H16" s="32"/>
    </row>
    <row r="17" spans="2:12">
      <c r="B17" s="150" t="s">
        <v>18</v>
      </c>
      <c r="C17" s="151"/>
      <c r="D17" s="151"/>
      <c r="E17" s="151"/>
      <c r="F17" s="151"/>
      <c r="G17" s="151"/>
      <c r="H17" s="152"/>
    </row>
    <row r="18" spans="2:12">
      <c r="B18" s="135" t="s">
        <v>19</v>
      </c>
      <c r="C18" s="136"/>
      <c r="D18" s="136"/>
      <c r="E18" s="136"/>
      <c r="F18" s="136"/>
      <c r="G18" s="136"/>
      <c r="H18" s="137"/>
    </row>
    <row r="19" spans="2:12" ht="27.95" customHeight="1">
      <c r="B19" s="17"/>
      <c r="C19" s="11" t="s">
        <v>20</v>
      </c>
      <c r="D19" s="29"/>
      <c r="E19" s="29"/>
      <c r="F19" s="30"/>
      <c r="G19" s="30"/>
      <c r="H19" s="30"/>
    </row>
    <row r="20" spans="2:12" ht="20.100000000000001" customHeight="1">
      <c r="B20" s="10"/>
      <c r="C20" s="13" t="s">
        <v>21</v>
      </c>
      <c r="D20" s="32"/>
      <c r="E20" s="32"/>
      <c r="F20" s="32"/>
      <c r="G20" s="32"/>
      <c r="H20" s="32"/>
    </row>
    <row r="21" spans="2:12">
      <c r="B21" s="150" t="s">
        <v>22</v>
      </c>
      <c r="C21" s="151"/>
      <c r="D21" s="151"/>
      <c r="E21" s="151"/>
      <c r="F21" s="151"/>
      <c r="G21" s="151"/>
      <c r="H21" s="152"/>
    </row>
    <row r="22" spans="2:12">
      <c r="B22" s="135" t="s">
        <v>23</v>
      </c>
      <c r="C22" s="136"/>
      <c r="D22" s="136"/>
      <c r="E22" s="136"/>
      <c r="F22" s="136"/>
      <c r="G22" s="136"/>
      <c r="H22" s="137"/>
      <c r="J22" s="106"/>
      <c r="K22" s="106"/>
      <c r="L22" s="106"/>
    </row>
    <row r="23" spans="2:12" ht="15">
      <c r="B23" s="17" t="s">
        <v>24</v>
      </c>
      <c r="C23" s="11" t="s">
        <v>25</v>
      </c>
      <c r="D23" s="57">
        <f>E23*G6</f>
        <v>8.6740700000000004</v>
      </c>
      <c r="E23" s="57">
        <f>0.77136*2+0.412</f>
        <v>1.95472</v>
      </c>
      <c r="F23" s="55">
        <f>D23*0.24</f>
        <v>2.0817768000000001</v>
      </c>
      <c r="G23" s="55">
        <f>F23+D23</f>
        <v>10.7558468</v>
      </c>
      <c r="H23" s="55">
        <f>G23/$G$6</f>
        <v>2.4238528000000001</v>
      </c>
      <c r="J23" s="108"/>
      <c r="K23" s="106"/>
      <c r="L23" s="106"/>
    </row>
    <row r="24" spans="2:12">
      <c r="B24" s="40">
        <v>3.2</v>
      </c>
      <c r="C24" s="56" t="s">
        <v>26</v>
      </c>
      <c r="D24" s="117">
        <f>E24*G6</f>
        <v>90.218856875</v>
      </c>
      <c r="E24" s="117">
        <v>20.331009999999999</v>
      </c>
      <c r="F24" s="55">
        <f>D24*0.24</f>
        <v>21.652525649999998</v>
      </c>
      <c r="G24" s="55">
        <f>F24+D24</f>
        <v>111.871382525</v>
      </c>
      <c r="H24" s="55">
        <f>G24/$G$6</f>
        <v>25.210452400000001</v>
      </c>
      <c r="J24" s="106"/>
      <c r="K24" s="106"/>
      <c r="L24" s="106"/>
    </row>
    <row r="25" spans="2:12" ht="14.1" customHeight="1">
      <c r="B25" s="10"/>
      <c r="C25" s="13" t="s">
        <v>27</v>
      </c>
      <c r="D25" s="48">
        <f>SUM(D23:D24)</f>
        <v>98.892926875000001</v>
      </c>
      <c r="E25" s="48">
        <f>SUM(E23:E24)</f>
        <v>22.285730000000001</v>
      </c>
      <c r="F25" s="48">
        <f>SUM(F23:F24)</f>
        <v>23.734302449999998</v>
      </c>
      <c r="G25" s="48">
        <f>SUM(G23:G24)</f>
        <v>122.627229325</v>
      </c>
      <c r="H25" s="48">
        <f>SUM(H23:H24)</f>
        <v>27.6343052</v>
      </c>
      <c r="J25" s="106"/>
      <c r="K25" s="106"/>
      <c r="L25" s="106"/>
    </row>
    <row r="26" spans="2:12">
      <c r="B26" s="150" t="s">
        <v>28</v>
      </c>
      <c r="C26" s="151"/>
      <c r="D26" s="151"/>
      <c r="E26" s="151"/>
      <c r="F26" s="151"/>
      <c r="G26" s="151"/>
      <c r="H26" s="152"/>
      <c r="J26" s="106"/>
      <c r="K26" s="106"/>
      <c r="L26" s="106"/>
    </row>
    <row r="27" spans="2:12">
      <c r="B27" s="135" t="s">
        <v>29</v>
      </c>
      <c r="C27" s="136"/>
      <c r="D27" s="136"/>
      <c r="E27" s="136"/>
      <c r="F27" s="136"/>
      <c r="G27" s="136"/>
      <c r="H27" s="137"/>
      <c r="J27" s="106"/>
      <c r="K27" s="106"/>
      <c r="L27" s="106"/>
    </row>
    <row r="28" spans="2:12">
      <c r="B28" s="41">
        <v>4</v>
      </c>
      <c r="C28" s="42" t="s">
        <v>30</v>
      </c>
      <c r="D28" s="42"/>
      <c r="E28" s="42"/>
      <c r="F28" s="42"/>
      <c r="G28" s="42"/>
      <c r="H28" s="43"/>
      <c r="J28" s="106"/>
      <c r="K28" s="106"/>
      <c r="L28" s="106"/>
    </row>
    <row r="29" spans="2:12" ht="17.100000000000001" customHeight="1">
      <c r="B29" s="17">
        <v>4.0999999999999996</v>
      </c>
      <c r="C29" s="11" t="s">
        <v>31</v>
      </c>
      <c r="D29" s="57">
        <f>E29*G6</f>
        <v>908.99524999999994</v>
      </c>
      <c r="E29" s="57">
        <v>204.84399999999999</v>
      </c>
      <c r="F29" s="55">
        <f>D29*0.24</f>
        <v>218.15885999999998</v>
      </c>
      <c r="G29" s="55">
        <f>F29+D29</f>
        <v>1127.1541099999999</v>
      </c>
      <c r="H29" s="55">
        <f>G29/$G$6</f>
        <v>254.00655999999998</v>
      </c>
      <c r="J29" s="106"/>
      <c r="K29" s="106"/>
      <c r="L29" s="106"/>
    </row>
    <row r="30" spans="2:12" ht="15" customHeight="1">
      <c r="B30" s="18">
        <v>4.2</v>
      </c>
      <c r="C30" s="1" t="s">
        <v>32</v>
      </c>
      <c r="D30" s="57">
        <f>E30*G6</f>
        <v>0</v>
      </c>
      <c r="E30" s="57">
        <v>0</v>
      </c>
      <c r="F30" s="55">
        <f>D30*0.24</f>
        <v>0</v>
      </c>
      <c r="G30" s="55">
        <f>F30+D30</f>
        <v>0</v>
      </c>
      <c r="H30" s="55">
        <f>G30/$G$6</f>
        <v>0</v>
      </c>
      <c r="J30" s="106"/>
      <c r="K30" s="106"/>
      <c r="L30" s="106"/>
    </row>
    <row r="31" spans="2:12">
      <c r="B31" s="18">
        <v>4.3</v>
      </c>
      <c r="C31" s="1" t="s">
        <v>33</v>
      </c>
      <c r="D31" s="57">
        <f>E31*G6</f>
        <v>159.336380625</v>
      </c>
      <c r="E31" s="57">
        <v>35.906790000000001</v>
      </c>
      <c r="F31" s="55">
        <f>D31*0.24</f>
        <v>38.240731349999997</v>
      </c>
      <c r="G31" s="55">
        <f>F31+D31</f>
        <v>197.57711197500001</v>
      </c>
      <c r="H31" s="55">
        <f>G31/$G$6</f>
        <v>44.524419600000002</v>
      </c>
      <c r="J31" s="106"/>
      <c r="K31" s="106"/>
      <c r="L31" s="106"/>
    </row>
    <row r="32" spans="2:12" ht="18" customHeight="1">
      <c r="B32" s="19"/>
      <c r="C32" s="12" t="s">
        <v>34</v>
      </c>
      <c r="D32" s="54">
        <f>SUM(D29:D31)</f>
        <v>1068.3316306249999</v>
      </c>
      <c r="E32" s="54">
        <f>SUM(E29:E31)</f>
        <v>240.75078999999999</v>
      </c>
      <c r="F32" s="54">
        <f>SUM(F29:F31)</f>
        <v>256.39959134999998</v>
      </c>
      <c r="G32" s="54">
        <f>SUM(G29:G31)</f>
        <v>1324.7312219749999</v>
      </c>
      <c r="H32" s="54">
        <f>SUM(H29:H31)</f>
        <v>298.53097959999997</v>
      </c>
      <c r="J32" s="106"/>
      <c r="K32" s="106"/>
      <c r="L32" s="106"/>
    </row>
    <row r="33" spans="1:12">
      <c r="B33" s="144" t="s">
        <v>35</v>
      </c>
      <c r="C33" s="145"/>
      <c r="D33" s="145"/>
      <c r="E33" s="145"/>
      <c r="F33" s="145"/>
      <c r="G33" s="145"/>
      <c r="H33" s="146"/>
      <c r="J33" s="106"/>
      <c r="K33" s="106"/>
      <c r="L33" s="106"/>
    </row>
    <row r="34" spans="1:12">
      <c r="B34" s="147" t="s">
        <v>36</v>
      </c>
      <c r="C34" s="148"/>
      <c r="D34" s="148"/>
      <c r="E34" s="148"/>
      <c r="F34" s="148"/>
      <c r="G34" s="148"/>
      <c r="H34" s="149"/>
      <c r="J34" s="106"/>
      <c r="K34" s="106"/>
      <c r="L34" s="106"/>
    </row>
    <row r="35" spans="1:12" ht="15" customHeight="1">
      <c r="B35" s="21" t="s">
        <v>37</v>
      </c>
      <c r="C35" s="1" t="s">
        <v>38</v>
      </c>
      <c r="D35" s="6"/>
      <c r="E35" s="6"/>
      <c r="F35" s="6"/>
      <c r="G35" s="6"/>
      <c r="H35" s="6"/>
      <c r="J35" s="106"/>
      <c r="K35" s="106"/>
      <c r="L35" s="106"/>
    </row>
    <row r="36" spans="1:12" ht="18" customHeight="1">
      <c r="B36" s="21" t="s">
        <v>39</v>
      </c>
      <c r="C36" s="1" t="s">
        <v>40</v>
      </c>
      <c r="D36" s="50"/>
      <c r="E36" s="34"/>
      <c r="F36" s="35"/>
      <c r="G36" s="35"/>
      <c r="H36" s="35"/>
      <c r="J36" s="106"/>
      <c r="K36" s="106"/>
      <c r="L36" s="106"/>
    </row>
    <row r="37" spans="1:12" ht="15" customHeight="1">
      <c r="B37" s="20" t="s">
        <v>41</v>
      </c>
      <c r="C37" s="1" t="s">
        <v>42</v>
      </c>
      <c r="D37" s="34"/>
      <c r="E37" s="34"/>
      <c r="F37" s="35"/>
      <c r="G37" s="35"/>
      <c r="H37" s="35"/>
      <c r="J37" s="106"/>
      <c r="K37" s="106"/>
      <c r="L37" s="106"/>
    </row>
    <row r="38" spans="1:12" ht="15.95" customHeight="1">
      <c r="B38" s="21" t="s">
        <v>43</v>
      </c>
      <c r="C38" s="1" t="s">
        <v>44</v>
      </c>
      <c r="D38" s="34"/>
      <c r="E38" s="34"/>
      <c r="F38" s="35"/>
      <c r="G38" s="35"/>
      <c r="H38" s="35"/>
      <c r="J38" s="106"/>
      <c r="K38" s="106"/>
      <c r="L38" s="106"/>
    </row>
    <row r="39" spans="1:12">
      <c r="B39" s="20" t="s">
        <v>45</v>
      </c>
      <c r="C39" s="1" t="s">
        <v>46</v>
      </c>
      <c r="D39" s="34"/>
      <c r="E39" s="34"/>
      <c r="F39" s="35"/>
      <c r="G39" s="35"/>
      <c r="H39" s="35"/>
      <c r="J39" s="106"/>
      <c r="K39" s="106"/>
      <c r="L39" s="106"/>
    </row>
    <row r="40" spans="1:12" ht="15.95" customHeight="1">
      <c r="B40" s="20" t="s">
        <v>47</v>
      </c>
      <c r="C40" s="1" t="s">
        <v>48</v>
      </c>
      <c r="D40" s="34"/>
      <c r="E40" s="34"/>
      <c r="F40" s="35"/>
      <c r="G40" s="35"/>
      <c r="H40" s="35"/>
      <c r="J40" s="106"/>
      <c r="K40" s="106"/>
      <c r="L40" s="106"/>
    </row>
    <row r="41" spans="1:12" ht="12.95" customHeight="1">
      <c r="B41" s="23"/>
      <c r="C41" s="24" t="s">
        <v>49</v>
      </c>
      <c r="D41" s="33"/>
      <c r="E41" s="33"/>
      <c r="F41" s="33"/>
      <c r="G41" s="33"/>
      <c r="H41" s="33"/>
      <c r="J41" s="106"/>
      <c r="K41" s="106"/>
      <c r="L41" s="106"/>
    </row>
    <row r="42" spans="1:12">
      <c r="B42" s="150" t="s">
        <v>50</v>
      </c>
      <c r="C42" s="151"/>
      <c r="D42" s="151"/>
      <c r="E42" s="151"/>
      <c r="F42" s="151"/>
      <c r="G42" s="151"/>
      <c r="H42" s="152"/>
      <c r="J42" s="106"/>
      <c r="K42" s="106"/>
      <c r="L42" s="106"/>
    </row>
    <row r="43" spans="1:12">
      <c r="B43" s="135" t="s">
        <v>51</v>
      </c>
      <c r="C43" s="136"/>
      <c r="D43" s="136"/>
      <c r="E43" s="136"/>
      <c r="F43" s="136"/>
      <c r="G43" s="136"/>
      <c r="H43" s="137"/>
      <c r="J43" s="106"/>
      <c r="K43" s="106"/>
      <c r="L43" s="106"/>
    </row>
    <row r="44" spans="1:12">
      <c r="B44" s="17">
        <v>6.1</v>
      </c>
      <c r="C44" s="11" t="s">
        <v>52</v>
      </c>
      <c r="D44" s="34"/>
      <c r="E44" s="34"/>
      <c r="F44" s="35"/>
      <c r="G44" s="35"/>
      <c r="H44" s="35"/>
      <c r="J44" s="106"/>
      <c r="K44" s="106"/>
      <c r="L44" s="106"/>
    </row>
    <row r="45" spans="1:12">
      <c r="B45" s="18">
        <v>6.2</v>
      </c>
      <c r="C45" s="1" t="s">
        <v>53</v>
      </c>
      <c r="D45" s="34"/>
      <c r="E45" s="34"/>
      <c r="F45" s="35"/>
      <c r="G45" s="35"/>
      <c r="H45" s="35"/>
      <c r="J45" s="106"/>
      <c r="K45" s="106"/>
      <c r="L45" s="106"/>
    </row>
    <row r="46" spans="1:12" ht="12" customHeight="1">
      <c r="B46" s="10"/>
      <c r="C46" s="22" t="s">
        <v>54</v>
      </c>
      <c r="D46" s="36"/>
      <c r="E46" s="36"/>
      <c r="F46" s="36"/>
      <c r="G46" s="36"/>
      <c r="H46" s="36"/>
      <c r="J46" s="106"/>
      <c r="K46" s="106"/>
      <c r="L46" s="106"/>
    </row>
    <row r="47" spans="1:12" ht="15">
      <c r="A47" s="38"/>
      <c r="B47" s="47"/>
      <c r="C47" s="46" t="s">
        <v>55</v>
      </c>
      <c r="D47" s="49">
        <f>D46+D41+D32+D25+D20+D16</f>
        <v>1167.2245574999999</v>
      </c>
      <c r="E47" s="49">
        <f>E16+E20+E25+E32+E41</f>
        <v>263.03652</v>
      </c>
      <c r="F47" s="49">
        <f>F16+F20+F25+F32+F41</f>
        <v>280.13389379999995</v>
      </c>
      <c r="G47" s="49">
        <f>G16+G20+G25+G32+G41</f>
        <v>1447.3584512999998</v>
      </c>
      <c r="H47" s="49">
        <f>H16+H20+H25+H32+H41</f>
        <v>326.16528479999999</v>
      </c>
      <c r="J47" s="106"/>
      <c r="K47" s="106"/>
      <c r="L47" s="106"/>
    </row>
    <row r="48" spans="1:12" ht="15">
      <c r="A48" s="38"/>
      <c r="B48" s="47"/>
      <c r="C48" s="46" t="s">
        <v>56</v>
      </c>
      <c r="D48" s="49">
        <f>D14+D15+D20+D30+D31+D29+D36</f>
        <v>1068.3316306249999</v>
      </c>
      <c r="E48" s="49">
        <f>E14+E15+E20+E29+E30+E31+E36</f>
        <v>240.75078999999999</v>
      </c>
      <c r="F48" s="49">
        <f>F14+F15+F20+F29+F30+F31+F36</f>
        <v>256.39959134999998</v>
      </c>
      <c r="G48" s="49">
        <f>G14+G15+G20+G29+G30+G31+G36</f>
        <v>1324.7312219749999</v>
      </c>
      <c r="H48" s="49">
        <f>H14+H15+H20+H29+H30+H31+H36</f>
        <v>298.53097959999997</v>
      </c>
      <c r="J48" s="106"/>
      <c r="K48" s="106"/>
      <c r="L48" s="106"/>
    </row>
    <row r="49" spans="2:12">
      <c r="B49" s="14"/>
      <c r="D49" s="2"/>
      <c r="E49" s="2"/>
      <c r="F49" s="3"/>
      <c r="G49" s="2"/>
      <c r="H49" s="2"/>
      <c r="J49" s="106"/>
      <c r="K49" s="106"/>
      <c r="L49" s="106"/>
    </row>
    <row r="50" spans="2:12">
      <c r="B50" s="14"/>
      <c r="D50" s="2"/>
      <c r="E50" s="2"/>
      <c r="F50" s="3"/>
      <c r="G50" s="2"/>
      <c r="H50" s="2"/>
    </row>
    <row r="51" spans="2:12">
      <c r="B51" s="14"/>
      <c r="C51" s="45"/>
      <c r="D51" s="2"/>
      <c r="E51" s="2"/>
      <c r="F51" s="4"/>
      <c r="G51" s="5"/>
      <c r="H51" s="2"/>
    </row>
    <row r="52" spans="2:12">
      <c r="B52" s="14"/>
      <c r="D52" s="2"/>
      <c r="E52" s="2"/>
      <c r="F52" s="3"/>
      <c r="G52" s="2"/>
      <c r="H52" s="2"/>
    </row>
    <row r="53" spans="2:12">
      <c r="B53" s="14"/>
      <c r="D53" s="2"/>
      <c r="E53" s="2"/>
      <c r="F53" s="3"/>
      <c r="G53" s="2"/>
      <c r="H53" s="2"/>
    </row>
    <row r="54" spans="2:12">
      <c r="B54" s="14"/>
      <c r="C54" s="8"/>
      <c r="D54" s="2"/>
      <c r="E54" s="2">
        <f>E48-E47</f>
        <v>-22.285730000000001</v>
      </c>
      <c r="F54" s="3"/>
      <c r="G54" s="2"/>
      <c r="H54" s="2"/>
    </row>
    <row r="55" spans="2:12">
      <c r="B55" s="14"/>
      <c r="D55" s="2"/>
      <c r="E55" s="2"/>
      <c r="F55" s="3"/>
      <c r="G55" s="2"/>
      <c r="H55" s="2"/>
    </row>
    <row r="56" spans="2:12">
      <c r="B56" s="14"/>
      <c r="D56" s="2"/>
      <c r="E56" s="5"/>
      <c r="F56" s="3"/>
      <c r="G56" s="2"/>
      <c r="H56" s="2"/>
    </row>
    <row r="57" spans="2:12">
      <c r="B57" s="14"/>
      <c r="D57" s="2"/>
      <c r="E57" s="3"/>
      <c r="F57" s="2"/>
      <c r="G57" s="2"/>
    </row>
    <row r="58" spans="2:12">
      <c r="B58" s="14"/>
      <c r="C58" s="7" t="s">
        <v>58</v>
      </c>
      <c r="D58" s="2"/>
      <c r="E58" s="5"/>
    </row>
    <row r="59" spans="2:12">
      <c r="B59" s="14"/>
      <c r="D59" s="2"/>
      <c r="E59" s="2"/>
      <c r="F59" s="3"/>
      <c r="G59" s="2"/>
      <c r="H59" s="2"/>
    </row>
    <row r="60" spans="2:12">
      <c r="B60" s="14"/>
      <c r="D60" s="2"/>
      <c r="E60" s="2"/>
      <c r="F60" s="3"/>
      <c r="G60" s="2"/>
      <c r="H60" s="2"/>
    </row>
    <row r="61" spans="2:12">
      <c r="B61" s="14"/>
      <c r="D61" s="2"/>
      <c r="E61" s="2"/>
      <c r="F61" s="3"/>
      <c r="G61" s="2"/>
      <c r="H61" s="2"/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39374999999999999" right="0.19652777777777777" top="0.39374999999999999" bottom="0.59027777777777779" header="0.31458333333333333" footer="0.31458333333333333"/>
  <pageSetup firstPageNumber="4294963191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50"/>
  </sheetPr>
  <dimension ref="B1:H50"/>
  <sheetViews>
    <sheetView view="pageBreakPreview" topLeftCell="A31" zoomScaleSheetLayoutView="100" workbookViewId="0">
      <selection activeCell="H7" sqref="H7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206" t="s">
        <v>96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5.6004429799999995</v>
      </c>
      <c r="E23" s="118">
        <v>1.2439899999999999</v>
      </c>
      <c r="F23" s="119">
        <f>D23*0.2</f>
        <v>1.120088596</v>
      </c>
      <c r="G23" s="119">
        <f>F23+D23</f>
        <v>6.7205315759999991</v>
      </c>
      <c r="H23" s="119">
        <f>G23/$G$6</f>
        <v>1.4927879999999998</v>
      </c>
    </row>
    <row r="24" spans="2:8">
      <c r="B24" s="79">
        <v>3.2</v>
      </c>
      <c r="C24" s="80" t="s">
        <v>66</v>
      </c>
      <c r="D24" s="120">
        <f>E24*G6</f>
        <v>58.598302119999992</v>
      </c>
      <c r="E24" s="120">
        <v>13.01606</v>
      </c>
      <c r="F24" s="119">
        <f>D24*0.2</f>
        <v>11.719660423999999</v>
      </c>
      <c r="G24" s="119">
        <f>F24+D24</f>
        <v>70.317962543999997</v>
      </c>
      <c r="H24" s="119">
        <f>G24/$G$6</f>
        <v>15.619272</v>
      </c>
    </row>
    <row r="25" spans="2:8">
      <c r="B25" s="76"/>
      <c r="C25" s="77" t="s">
        <v>27</v>
      </c>
      <c r="D25" s="81">
        <f>SUM(D23:D24)</f>
        <v>64.198745099999996</v>
      </c>
      <c r="E25" s="81">
        <f>SUM(E23:E24)</f>
        <v>14.26005</v>
      </c>
      <c r="F25" s="81">
        <f>SUM(F23:F23)</f>
        <v>1.120088596</v>
      </c>
      <c r="G25" s="81">
        <f>SUM(G23:G23)</f>
        <v>6.7205315759999991</v>
      </c>
      <c r="H25" s="81">
        <f>SUM(H23:H23)</f>
        <v>1.4927879999999998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749.1678255600001</v>
      </c>
      <c r="E29" s="105">
        <f>'[2]Lista 32-p-canepei'!$O$156/1000</f>
        <v>166.40778000000003</v>
      </c>
      <c r="F29" s="119">
        <f>D29*0.2</f>
        <v>149.83356511200003</v>
      </c>
      <c r="G29" s="119">
        <f>F29+D29</f>
        <v>899.00139067200007</v>
      </c>
      <c r="H29" s="119">
        <f>G29/$G$6</f>
        <v>199.68933600000003</v>
      </c>
    </row>
    <row r="30" spans="2:8">
      <c r="B30" s="73">
        <v>4.2</v>
      </c>
      <c r="C30" s="74" t="s">
        <v>32</v>
      </c>
      <c r="D30" s="105">
        <f>E30*G6</f>
        <v>285.88541873999998</v>
      </c>
      <c r="E30" s="105">
        <f>'[2]Lista 32-p-canepei'!$Q$156/1000</f>
        <v>63.501869999999997</v>
      </c>
      <c r="F30" s="119">
        <f>D30*0.2</f>
        <v>57.177083748000001</v>
      </c>
      <c r="G30" s="119">
        <f>F30+D30</f>
        <v>343.06250248799995</v>
      </c>
      <c r="H30" s="119">
        <f>G30/$G$6</f>
        <v>76.202243999999993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1035.0532443000002</v>
      </c>
      <c r="E32" s="105">
        <f>SUM(E29:E31)</f>
        <v>229.90965000000003</v>
      </c>
      <c r="F32" s="105">
        <f>SUM(F29:F31)</f>
        <v>207.01064886000003</v>
      </c>
      <c r="G32" s="105">
        <f>SUM(G29:G31)</f>
        <v>1242.0638931600001</v>
      </c>
      <c r="H32" s="105">
        <f>SUM(H29:H31)</f>
        <v>275.89158000000003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>
        <f>0.1*(E29+E30+E31)</f>
        <v>22.990965000000003</v>
      </c>
      <c r="F40" s="93"/>
      <c r="G40" s="93"/>
      <c r="H40" s="93"/>
    </row>
    <row r="41" spans="2:8">
      <c r="B41" s="96"/>
      <c r="C41" s="97" t="s">
        <v>49</v>
      </c>
      <c r="D41" s="98"/>
      <c r="E41" s="98">
        <f>SUM(E35:E40)</f>
        <v>22.990965000000003</v>
      </c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1099.2519894000002</v>
      </c>
      <c r="E47" s="103">
        <f>E16+E20+E25+E32+E41</f>
        <v>267.16066500000005</v>
      </c>
      <c r="F47" s="103">
        <f>F16+F20+F25+F32+F41</f>
        <v>208.13073745600002</v>
      </c>
      <c r="G47" s="103">
        <f>G16+G20+G25+G32+G41</f>
        <v>1248.7844247360001</v>
      </c>
      <c r="H47" s="103">
        <f>H16+H20+H25+H32+H41</f>
        <v>277.38436800000005</v>
      </c>
    </row>
    <row r="48" spans="2:8" ht="15">
      <c r="B48" s="101"/>
      <c r="C48" s="102" t="s">
        <v>56</v>
      </c>
      <c r="D48" s="103">
        <f>D14+D15+D20+D30+D31+D29+D36</f>
        <v>1035.0532443000002</v>
      </c>
      <c r="E48" s="103">
        <f>E14+E15+E20+E29+E30+E31+E36</f>
        <v>229.90965000000003</v>
      </c>
      <c r="F48" s="103">
        <f>F14+F15+F20+F29+F30+F31+F36</f>
        <v>207.01064886000003</v>
      </c>
      <c r="G48" s="103">
        <f>G14+G15+G20+G29+G30+G31+G36</f>
        <v>1242.0638931600001</v>
      </c>
      <c r="H48" s="103">
        <f>H14+H15+H20+H29+H30+H31+H36</f>
        <v>275.89158000000003</v>
      </c>
    </row>
    <row r="49" spans="2:8" ht="15">
      <c r="B49" s="204" t="s">
        <v>101</v>
      </c>
      <c r="C49" s="204"/>
      <c r="D49" s="129"/>
      <c r="E49" s="133">
        <v>1.0903079228170436</v>
      </c>
      <c r="F49" s="129"/>
      <c r="G49" s="129"/>
      <c r="H49" s="129"/>
    </row>
    <row r="50" spans="2:8" ht="15">
      <c r="B50" s="205" t="s">
        <v>103</v>
      </c>
      <c r="C50" s="204"/>
      <c r="D50" s="129"/>
      <c r="E50" s="103">
        <f>E48*E49</f>
        <v>250.67231292709354</v>
      </c>
      <c r="F50" s="129"/>
      <c r="G50" s="129"/>
      <c r="H50" s="129"/>
    </row>
  </sheetData>
  <mergeCells count="21">
    <mergeCell ref="B34:H34"/>
    <mergeCell ref="B49:C49"/>
    <mergeCell ref="B50:C50"/>
    <mergeCell ref="C1:G3"/>
    <mergeCell ref="B4:F4"/>
    <mergeCell ref="B8:B10"/>
    <mergeCell ref="C8:C10"/>
    <mergeCell ref="D8:E9"/>
    <mergeCell ref="F8:F9"/>
    <mergeCell ref="G8:H9"/>
    <mergeCell ref="B26:H26"/>
    <mergeCell ref="B43:H43"/>
    <mergeCell ref="C11:H11"/>
    <mergeCell ref="C12:H12"/>
    <mergeCell ref="B17:H17"/>
    <mergeCell ref="B18:H18"/>
    <mergeCell ref="B21:H21"/>
    <mergeCell ref="B22:H22"/>
    <mergeCell ref="B42:H42"/>
    <mergeCell ref="B27:H27"/>
    <mergeCell ref="B33:H33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50"/>
  </sheetPr>
  <dimension ref="B1:H50"/>
  <sheetViews>
    <sheetView view="pageBreakPreview" topLeftCell="A31" zoomScaleSheetLayoutView="100" workbookViewId="0">
      <selection activeCell="H7" sqref="H7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206" t="s">
        <v>97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1.8137207399999999</v>
      </c>
      <c r="E23" s="118">
        <v>0.40287000000000001</v>
      </c>
      <c r="F23" s="119">
        <f>D23*0.2</f>
        <v>0.36274414799999999</v>
      </c>
      <c r="G23" s="119">
        <f>F23+D23</f>
        <v>2.1764648879999999</v>
      </c>
      <c r="H23" s="119">
        <f>G23/$G$6</f>
        <v>0.48344399999999998</v>
      </c>
    </row>
    <row r="24" spans="2:8">
      <c r="B24" s="79">
        <v>3.2</v>
      </c>
      <c r="C24" s="80" t="s">
        <v>66</v>
      </c>
      <c r="D24" s="120">
        <f>E24*G6</f>
        <v>18.977145539999999</v>
      </c>
      <c r="E24" s="120">
        <v>4.2152700000000003</v>
      </c>
      <c r="F24" s="119">
        <f>D24*0.2</f>
        <v>3.795429108</v>
      </c>
      <c r="G24" s="119">
        <f>F24+D24</f>
        <v>22.772574647999999</v>
      </c>
      <c r="H24" s="119">
        <f>G24/$G$6</f>
        <v>5.0583239999999998</v>
      </c>
    </row>
    <row r="25" spans="2:8">
      <c r="B25" s="76"/>
      <c r="C25" s="77" t="s">
        <v>27</v>
      </c>
      <c r="D25" s="81">
        <f>SUM(D23:D24)</f>
        <v>20.790866279999999</v>
      </c>
      <c r="E25" s="81">
        <f>SUM(E23:E24)</f>
        <v>4.6181400000000004</v>
      </c>
      <c r="F25" s="81">
        <f>SUM(F23:F23)</f>
        <v>0.36274414799999999</v>
      </c>
      <c r="G25" s="81">
        <f>SUM(G23:G23)</f>
        <v>2.1764648879999999</v>
      </c>
      <c r="H25" s="81">
        <f>SUM(H23:H23)</f>
        <v>0.48344399999999998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308.0033395599998</v>
      </c>
      <c r="E29" s="105">
        <f>'[2]Lista 33-p-orko'!$O$156/1000</f>
        <v>68.414779999999965</v>
      </c>
      <c r="F29" s="119">
        <f>D29*0.2</f>
        <v>61.600667911999963</v>
      </c>
      <c r="G29" s="119">
        <f>F29+D29</f>
        <v>369.60400747199975</v>
      </c>
      <c r="H29" s="119">
        <f>G29/$G$6</f>
        <v>82.097735999999955</v>
      </c>
    </row>
    <row r="30" spans="2:8">
      <c r="B30" s="73">
        <v>4.2</v>
      </c>
      <c r="C30" s="74" t="s">
        <v>32</v>
      </c>
      <c r="D30" s="105">
        <f>E30*G6</f>
        <v>171.57738774000001</v>
      </c>
      <c r="E30" s="105">
        <f>'[2]Lista 33-p-orko'!$Q$156/1000</f>
        <v>38.111370000000001</v>
      </c>
      <c r="F30" s="119">
        <f>D30*0.2</f>
        <v>34.315477548000004</v>
      </c>
      <c r="G30" s="119">
        <f>F30+D30</f>
        <v>205.892865288</v>
      </c>
      <c r="H30" s="119">
        <f>G30/$G$6</f>
        <v>45.733643999999998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479.58072729999981</v>
      </c>
      <c r="E32" s="105">
        <f>SUM(E29:E31)</f>
        <v>106.52614999999997</v>
      </c>
      <c r="F32" s="105">
        <f>SUM(F29:F31)</f>
        <v>95.916145459999967</v>
      </c>
      <c r="G32" s="105">
        <f>SUM(G29:G31)</f>
        <v>575.49687275999975</v>
      </c>
      <c r="H32" s="105">
        <f>SUM(H29:H31)</f>
        <v>127.83137999999995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>
        <f>0.1*(E29+E30+E31)</f>
        <v>10.652614999999997</v>
      </c>
      <c r="F40" s="93"/>
      <c r="G40" s="93"/>
      <c r="H40" s="93"/>
    </row>
    <row r="41" spans="2:8">
      <c r="B41" s="96"/>
      <c r="C41" s="97" t="s">
        <v>49</v>
      </c>
      <c r="D41" s="98"/>
      <c r="E41" s="98">
        <f>SUM(E35:E40)</f>
        <v>10.652614999999997</v>
      </c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500.3715935799998</v>
      </c>
      <c r="E47" s="103">
        <f>E16+E20+E25+E32+E41</f>
        <v>121.79690499999997</v>
      </c>
      <c r="F47" s="103">
        <f>F16+F20+F25+F32+F41</f>
        <v>96.278889607999972</v>
      </c>
      <c r="G47" s="103">
        <f>G16+G20+G25+G32+G41</f>
        <v>577.6733376479998</v>
      </c>
      <c r="H47" s="103">
        <f>H16+H20+H25+H32+H41</f>
        <v>128.31482399999996</v>
      </c>
    </row>
    <row r="48" spans="2:8" ht="15">
      <c r="B48" s="101"/>
      <c r="C48" s="102" t="s">
        <v>56</v>
      </c>
      <c r="D48" s="103">
        <f>D14+D15+D20+D30+D31+D29+D36</f>
        <v>479.58072729999981</v>
      </c>
      <c r="E48" s="103">
        <f>E14+E15+E20+E29+E30+E31+E36</f>
        <v>106.52614999999997</v>
      </c>
      <c r="F48" s="103">
        <f>F14+F15+F20+F29+F30+F31+F36</f>
        <v>95.916145459999967</v>
      </c>
      <c r="G48" s="103">
        <f>G14+G15+G20+G29+G30+G31+G36</f>
        <v>575.49687275999975</v>
      </c>
      <c r="H48" s="103">
        <f>H14+H15+H20+H29+H30+H31+H36</f>
        <v>127.83137999999995</v>
      </c>
    </row>
    <row r="49" spans="2:8" ht="15">
      <c r="B49" s="204" t="s">
        <v>101</v>
      </c>
      <c r="C49" s="204"/>
      <c r="D49" s="129"/>
      <c r="E49" s="133">
        <v>1.0903079228170436</v>
      </c>
      <c r="F49" s="129"/>
      <c r="G49" s="129"/>
      <c r="H49" s="129"/>
    </row>
    <row r="50" spans="2:8" ht="15">
      <c r="B50" s="205" t="s">
        <v>103</v>
      </c>
      <c r="C50" s="204"/>
      <c r="D50" s="129"/>
      <c r="E50" s="103">
        <f>E48*E49</f>
        <v>116.14630533219677</v>
      </c>
      <c r="F50" s="129"/>
      <c r="G50" s="129"/>
      <c r="H50" s="129"/>
    </row>
  </sheetData>
  <mergeCells count="21">
    <mergeCell ref="B34:H34"/>
    <mergeCell ref="B49:C49"/>
    <mergeCell ref="B50:C50"/>
    <mergeCell ref="C1:G3"/>
    <mergeCell ref="B4:F4"/>
    <mergeCell ref="B8:B10"/>
    <mergeCell ref="C8:C10"/>
    <mergeCell ref="D8:E9"/>
    <mergeCell ref="F8:F9"/>
    <mergeCell ref="G8:H9"/>
    <mergeCell ref="B26:H26"/>
    <mergeCell ref="B43:H43"/>
    <mergeCell ref="C11:H11"/>
    <mergeCell ref="C12:H12"/>
    <mergeCell ref="B17:H17"/>
    <mergeCell ref="B18:H18"/>
    <mergeCell ref="B21:H21"/>
    <mergeCell ref="B22:H22"/>
    <mergeCell ref="B42:H42"/>
    <mergeCell ref="B27:H27"/>
    <mergeCell ref="B33:H33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50"/>
  </sheetPr>
  <dimension ref="B1:H50"/>
  <sheetViews>
    <sheetView tabSelected="1" view="pageBreakPreview" topLeftCell="A31" zoomScaleSheetLayoutView="100" workbookViewId="0">
      <selection activeCell="M66" sqref="M66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206" t="s">
        <v>99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2.4368875800000001</v>
      </c>
      <c r="E23" s="118">
        <v>0.54129000000000005</v>
      </c>
      <c r="F23" s="119">
        <f>D23*0.2</f>
        <v>0.48737751600000001</v>
      </c>
      <c r="G23" s="119">
        <f>F23+D23</f>
        <v>2.9242650960000001</v>
      </c>
      <c r="H23" s="119">
        <f>G23/$G$6</f>
        <v>0.64954800000000001</v>
      </c>
    </row>
    <row r="24" spans="2:8">
      <c r="B24" s="79">
        <v>3.2</v>
      </c>
      <c r="C24" s="80" t="s">
        <v>66</v>
      </c>
      <c r="D24" s="120">
        <f>E24*G6</f>
        <v>25.497572219999999</v>
      </c>
      <c r="E24" s="120">
        <v>5.6636100000000003</v>
      </c>
      <c r="F24" s="119">
        <f>D24*0.2</f>
        <v>5.0995144440000004</v>
      </c>
      <c r="G24" s="119">
        <f>F24+D24</f>
        <v>30.597086663999999</v>
      </c>
      <c r="H24" s="119">
        <f>G24/$G$6</f>
        <v>6.7963320000000005</v>
      </c>
    </row>
    <row r="25" spans="2:8">
      <c r="B25" s="76"/>
      <c r="C25" s="77" t="s">
        <v>27</v>
      </c>
      <c r="D25" s="81">
        <f>SUM(D23:D24)</f>
        <v>27.934459799999999</v>
      </c>
      <c r="E25" s="81">
        <f>SUM(E23:E24)</f>
        <v>6.2049000000000003</v>
      </c>
      <c r="F25" s="81">
        <f>SUM(F23:F23)</f>
        <v>0.48737751600000001</v>
      </c>
      <c r="G25" s="81">
        <f>SUM(G23:G23)</f>
        <v>2.9242650960000001</v>
      </c>
      <c r="H25" s="81">
        <f>SUM(H23:H23)</f>
        <v>0.64954800000000001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447.38386394000003</v>
      </c>
      <c r="E29" s="105">
        <f>'[2]Lista 36-sf-debren'!$O$156/1000</f>
        <v>99.374470000000017</v>
      </c>
      <c r="F29" s="119">
        <f>D29*0.2</f>
        <v>89.476772788000005</v>
      </c>
      <c r="G29" s="119">
        <f>F29+D29</f>
        <v>536.86063672800003</v>
      </c>
      <c r="H29" s="119">
        <f>G29/$G$6</f>
        <v>119.24936400000001</v>
      </c>
    </row>
    <row r="30" spans="2:8">
      <c r="B30" s="73">
        <v>4.2</v>
      </c>
      <c r="C30" s="74" t="s">
        <v>32</v>
      </c>
      <c r="D30" s="105">
        <f>E30*G6</f>
        <v>352.57205907999997</v>
      </c>
      <c r="E30" s="105">
        <f>'[2]Lista 36-sf-debren'!$Q$156/1000</f>
        <v>78.314539999999994</v>
      </c>
      <c r="F30" s="119">
        <f>D30*0.2</f>
        <v>70.514411815999992</v>
      </c>
      <c r="G30" s="119">
        <f>F30+D30</f>
        <v>423.08647089599998</v>
      </c>
      <c r="H30" s="119">
        <f>G30/$G$6</f>
        <v>93.977447999999995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799.95592302</v>
      </c>
      <c r="E32" s="105">
        <f>SUM(E29:E31)</f>
        <v>177.68901</v>
      </c>
      <c r="F32" s="105">
        <f>SUM(F29:F31)</f>
        <v>159.99118460400001</v>
      </c>
      <c r="G32" s="105">
        <f>SUM(G29:G31)</f>
        <v>959.94710762399995</v>
      </c>
      <c r="H32" s="105">
        <f>SUM(H29:H31)</f>
        <v>213.226812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>
        <f>0.1*(E29+E30+E31)</f>
        <v>17.768901</v>
      </c>
      <c r="F40" s="93"/>
      <c r="G40" s="93"/>
      <c r="H40" s="93"/>
    </row>
    <row r="41" spans="2:8">
      <c r="B41" s="96"/>
      <c r="C41" s="97" t="s">
        <v>49</v>
      </c>
      <c r="D41" s="98"/>
      <c r="E41" s="98">
        <f>SUM(E35:E40)</f>
        <v>17.768901</v>
      </c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827.89038282000001</v>
      </c>
      <c r="E47" s="103">
        <f>E16+E20+E25+E32+E41</f>
        <v>201.662811</v>
      </c>
      <c r="F47" s="103">
        <f>F16+F20+F25+F32+F41</f>
        <v>160.47856212000002</v>
      </c>
      <c r="G47" s="103">
        <f>G16+G20+G25+G32+G41</f>
        <v>962.87137271999995</v>
      </c>
      <c r="H47" s="103">
        <f>H16+H20+H25+H32+H41</f>
        <v>213.87636000000001</v>
      </c>
    </row>
    <row r="48" spans="2:8" ht="15">
      <c r="B48" s="101"/>
      <c r="C48" s="102" t="s">
        <v>56</v>
      </c>
      <c r="D48" s="103">
        <f>D14+D15+D20+D30+D31+D29+D36</f>
        <v>799.95592302</v>
      </c>
      <c r="E48" s="103">
        <f>E14+E15+E20+E29+E30+E31+E36</f>
        <v>177.68901</v>
      </c>
      <c r="F48" s="103">
        <f>F14+F15+F20+F29+F30+F31+F36</f>
        <v>159.99118460400001</v>
      </c>
      <c r="G48" s="103">
        <f>G14+G15+G20+G29+G30+G31+G36</f>
        <v>959.94710762399995</v>
      </c>
      <c r="H48" s="103">
        <f>H14+H15+H20+H29+H30+H31+H36</f>
        <v>213.226812</v>
      </c>
    </row>
    <row r="49" spans="2:8" ht="15">
      <c r="B49" s="204" t="s">
        <v>101</v>
      </c>
      <c r="C49" s="204"/>
      <c r="D49" s="129"/>
      <c r="E49" s="133">
        <v>1.0903079228170436</v>
      </c>
      <c r="F49" s="129"/>
      <c r="G49" s="129"/>
      <c r="H49" s="129"/>
    </row>
    <row r="50" spans="2:8" ht="15">
      <c r="B50" s="205" t="s">
        <v>103</v>
      </c>
      <c r="C50" s="204"/>
      <c r="D50" s="129"/>
      <c r="E50" s="103">
        <f>E48*E49</f>
        <v>193.73573540051689</v>
      </c>
      <c r="F50" s="129"/>
      <c r="G50" s="129"/>
      <c r="H50" s="129"/>
    </row>
  </sheetData>
  <mergeCells count="21">
    <mergeCell ref="B34:H34"/>
    <mergeCell ref="B49:C49"/>
    <mergeCell ref="B50:C50"/>
    <mergeCell ref="C1:G3"/>
    <mergeCell ref="B4:F4"/>
    <mergeCell ref="B8:B10"/>
    <mergeCell ref="C8:C10"/>
    <mergeCell ref="D8:E9"/>
    <mergeCell ref="F8:F9"/>
    <mergeCell ref="G8:H9"/>
    <mergeCell ref="B26:H26"/>
    <mergeCell ref="B43:H43"/>
    <mergeCell ref="C11:H11"/>
    <mergeCell ref="C12:H12"/>
    <mergeCell ref="B17:H17"/>
    <mergeCell ref="B18:H18"/>
    <mergeCell ref="B21:H21"/>
    <mergeCell ref="B22:H22"/>
    <mergeCell ref="B42:H42"/>
    <mergeCell ref="B27:H27"/>
    <mergeCell ref="B33:H33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50"/>
  </sheetPr>
  <dimension ref="B1:H50"/>
  <sheetViews>
    <sheetView view="pageBreakPreview" zoomScaleSheetLayoutView="100" workbookViewId="0">
      <selection activeCell="H7" sqref="H7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1406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206" t="s">
        <v>98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1.95193214</v>
      </c>
      <c r="E23" s="118">
        <f>0.43372-0.00015</f>
        <v>0.43357000000000001</v>
      </c>
      <c r="F23" s="119">
        <f>D23*0.2</f>
        <v>0.39038642800000001</v>
      </c>
      <c r="G23" s="119">
        <f>F23+D23</f>
        <v>2.342318568</v>
      </c>
      <c r="H23" s="119">
        <f>G23/$G$6</f>
        <v>0.52028400000000008</v>
      </c>
    </row>
    <row r="24" spans="2:8">
      <c r="B24" s="79">
        <v>3.2</v>
      </c>
      <c r="C24" s="80" t="s">
        <v>66</v>
      </c>
      <c r="D24" s="120">
        <f>E24*G6</f>
        <v>21.231161879999998</v>
      </c>
      <c r="E24" s="120">
        <v>4.7159399999999998</v>
      </c>
      <c r="F24" s="119">
        <f>D24*0.2</f>
        <v>4.246232376</v>
      </c>
      <c r="G24" s="119">
        <f>F24+D24</f>
        <v>25.477394255999997</v>
      </c>
      <c r="H24" s="119">
        <f>G24/$G$6</f>
        <v>5.6591279999999999</v>
      </c>
    </row>
    <row r="25" spans="2:8">
      <c r="B25" s="76"/>
      <c r="C25" s="77" t="s">
        <v>27</v>
      </c>
      <c r="D25" s="81">
        <f>SUM(D23:D24)</f>
        <v>23.183094019999999</v>
      </c>
      <c r="E25" s="81">
        <f>SUM(E23:E24)</f>
        <v>5.1495099999999994</v>
      </c>
      <c r="F25" s="81">
        <f>SUM(F23:F23)</f>
        <v>0.39038642800000001</v>
      </c>
      <c r="G25" s="81">
        <f>SUM(G23:G23)</f>
        <v>2.342318568</v>
      </c>
      <c r="H25" s="81">
        <f>SUM(H23:H23)</f>
        <v>0.52028400000000008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461.81646557999989</v>
      </c>
      <c r="E29" s="105">
        <f>'[2]Lista 37-sf-bartalis ferencz'!$O$156/1000</f>
        <v>102.58028999999998</v>
      </c>
      <c r="F29" s="119">
        <f>D29*0.2</f>
        <v>92.36329311599998</v>
      </c>
      <c r="G29" s="119">
        <f>F29+D29</f>
        <v>554.17975869599991</v>
      </c>
      <c r="H29" s="119">
        <f>G29/$G$6</f>
        <v>123.09634799999999</v>
      </c>
    </row>
    <row r="30" spans="2:8">
      <c r="B30" s="73">
        <v>4.2</v>
      </c>
      <c r="C30" s="74" t="s">
        <v>32</v>
      </c>
      <c r="D30" s="105">
        <f>E30*G6</f>
        <v>159.37939882000001</v>
      </c>
      <c r="E30" s="105">
        <f>'[2]Lista 37-sf-bartalis ferencz'!$Q$156/1000</f>
        <v>35.401910000000001</v>
      </c>
      <c r="F30" s="119">
        <f>D30*0.2</f>
        <v>31.875879764000004</v>
      </c>
      <c r="G30" s="119">
        <f>F30+D30</f>
        <v>191.255278584</v>
      </c>
      <c r="H30" s="119">
        <f>G30/$G$6</f>
        <v>42.482292000000001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621.19586439999989</v>
      </c>
      <c r="E32" s="105">
        <f>SUM(E29:E31)</f>
        <v>137.98219999999998</v>
      </c>
      <c r="F32" s="105">
        <f>SUM(F29:F31)</f>
        <v>124.23917287999998</v>
      </c>
      <c r="G32" s="105">
        <f>SUM(G29:G31)</f>
        <v>745.43503727999996</v>
      </c>
      <c r="H32" s="105">
        <f>SUM(H29:H31)</f>
        <v>165.57864000000001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>
        <f>0.1*(E29+E30+E31)</f>
        <v>13.798219999999999</v>
      </c>
      <c r="F40" s="93"/>
      <c r="G40" s="93"/>
      <c r="H40" s="93"/>
    </row>
    <row r="41" spans="2:8">
      <c r="B41" s="96"/>
      <c r="C41" s="97" t="s">
        <v>49</v>
      </c>
      <c r="D41" s="98"/>
      <c r="E41" s="98">
        <f>SUM(E35:E40)</f>
        <v>13.798219999999999</v>
      </c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644.37895841999989</v>
      </c>
      <c r="E47" s="103">
        <f>E16+E20+E25+E32+E41</f>
        <v>156.92992999999996</v>
      </c>
      <c r="F47" s="103">
        <f>F16+F20+F25+F32+F41</f>
        <v>124.62955930799998</v>
      </c>
      <c r="G47" s="103">
        <f>G16+G20+G25+G32+G41</f>
        <v>747.77735584799996</v>
      </c>
      <c r="H47" s="103">
        <f>H16+H20+H25+H32+H41</f>
        <v>166.09892400000001</v>
      </c>
    </row>
    <row r="48" spans="2:8" ht="15">
      <c r="B48" s="101"/>
      <c r="C48" s="102" t="s">
        <v>56</v>
      </c>
      <c r="D48" s="103">
        <f>D14+D15+D20+D30+D31+D29+D36</f>
        <v>621.19586439999989</v>
      </c>
      <c r="E48" s="103">
        <f>E14+E15+E20+E29+E30+E31+E36</f>
        <v>137.98219999999998</v>
      </c>
      <c r="F48" s="103">
        <f>F14+F15+F20+F29+F30+F31+F36</f>
        <v>124.23917287999998</v>
      </c>
      <c r="G48" s="103">
        <f>G14+G15+G20+G29+G30+G31+G36</f>
        <v>745.43503727999996</v>
      </c>
      <c r="H48" s="103">
        <f>H14+H15+H20+H29+H30+H31+H36</f>
        <v>165.57864000000001</v>
      </c>
    </row>
    <row r="49" spans="2:8" ht="15">
      <c r="B49" s="204" t="s">
        <v>101</v>
      </c>
      <c r="C49" s="204"/>
      <c r="D49" s="129"/>
      <c r="E49" s="133">
        <v>1.0903079228170436</v>
      </c>
      <c r="F49" s="129"/>
      <c r="G49" s="129"/>
      <c r="H49" s="129"/>
    </row>
    <row r="50" spans="2:8" ht="15">
      <c r="B50" s="205" t="s">
        <v>103</v>
      </c>
      <c r="C50" s="204"/>
      <c r="D50" s="129"/>
      <c r="E50" s="103">
        <f>E48*E49</f>
        <v>150.44308586772584</v>
      </c>
      <c r="F50" s="129"/>
      <c r="G50" s="129"/>
      <c r="H50" s="129"/>
    </row>
  </sheetData>
  <mergeCells count="21">
    <mergeCell ref="B34:H34"/>
    <mergeCell ref="B49:C49"/>
    <mergeCell ref="B50:C50"/>
    <mergeCell ref="C1:G3"/>
    <mergeCell ref="B4:F4"/>
    <mergeCell ref="B8:B10"/>
    <mergeCell ref="C8:C10"/>
    <mergeCell ref="D8:E9"/>
    <mergeCell ref="F8:F9"/>
    <mergeCell ref="G8:H9"/>
    <mergeCell ref="B26:H26"/>
    <mergeCell ref="B43:H43"/>
    <mergeCell ref="C11:H11"/>
    <mergeCell ref="C12:H12"/>
    <mergeCell ref="B17:H17"/>
    <mergeCell ref="B18:H18"/>
    <mergeCell ref="B21:H21"/>
    <mergeCell ref="B22:H22"/>
    <mergeCell ref="B42:H42"/>
    <mergeCell ref="B27:H27"/>
    <mergeCell ref="B33:H33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50"/>
  </sheetPr>
  <dimension ref="B1:H50"/>
  <sheetViews>
    <sheetView view="pageBreakPreview" zoomScaleSheetLayoutView="100" workbookViewId="0">
      <selection activeCell="G6" sqref="G6"/>
    </sheetView>
  </sheetViews>
  <sheetFormatPr defaultRowHeight="12.75"/>
  <cols>
    <col min="1" max="1" width="4.28515625" style="60" customWidth="1"/>
    <col min="2" max="2" width="5.42578125" style="60" customWidth="1"/>
    <col min="3" max="3" width="40" style="60" customWidth="1"/>
    <col min="4" max="4" width="9.85546875" style="60" customWidth="1"/>
    <col min="5" max="5" width="11.140625" style="60" customWidth="1"/>
    <col min="6" max="6" width="8.5703125" style="60" customWidth="1"/>
    <col min="7" max="7" width="10.140625" style="60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206" t="s">
        <v>100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124">
        <v>4.5019999999999998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2.0079820399999999</v>
      </c>
      <c r="E23" s="118">
        <v>0.44602000000000003</v>
      </c>
      <c r="F23" s="119">
        <f>D23*0.2</f>
        <v>0.40159640800000002</v>
      </c>
      <c r="G23" s="119">
        <f>F23+D23</f>
        <v>2.409578448</v>
      </c>
      <c r="H23" s="119">
        <f>G23/$G$6</f>
        <v>0.53522400000000003</v>
      </c>
    </row>
    <row r="24" spans="2:8">
      <c r="B24" s="79">
        <v>3.2</v>
      </c>
      <c r="C24" s="80" t="s">
        <v>66</v>
      </c>
      <c r="D24" s="120">
        <f>E24*G6</f>
        <v>21.810434220000001</v>
      </c>
      <c r="E24" s="120">
        <v>4.8446100000000003</v>
      </c>
      <c r="F24" s="119">
        <f>D24*0.2</f>
        <v>4.3620868440000002</v>
      </c>
      <c r="G24" s="119">
        <f>F24+D24</f>
        <v>26.172521064000001</v>
      </c>
      <c r="H24" s="119">
        <f>G24/$G$6</f>
        <v>5.8135320000000004</v>
      </c>
    </row>
    <row r="25" spans="2:8">
      <c r="B25" s="76"/>
      <c r="C25" s="77" t="s">
        <v>27</v>
      </c>
      <c r="D25" s="81">
        <f>SUM(D23:D24)</f>
        <v>23.818416259999999</v>
      </c>
      <c r="E25" s="81">
        <f>SUM(E23:E24)</f>
        <v>5.2906300000000002</v>
      </c>
      <c r="F25" s="81">
        <f>SUM(F23:F23)</f>
        <v>0.40159640800000002</v>
      </c>
      <c r="G25" s="81">
        <f>SUM(G23:G23)</f>
        <v>2.409578448</v>
      </c>
      <c r="H25" s="81">
        <f>SUM(H23:H23)</f>
        <v>0.53522400000000003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250.18496391999997</v>
      </c>
      <c r="E29" s="105">
        <f>'[2]Lista 38-sf-orban balasz'!$O$156/1000</f>
        <v>55.571959999999997</v>
      </c>
      <c r="F29" s="119">
        <f>D29*0.2</f>
        <v>50.036992783999999</v>
      </c>
      <c r="G29" s="119">
        <f>F29+D29</f>
        <v>300.22195670399998</v>
      </c>
      <c r="H29" s="119">
        <f>G29/$G$6</f>
        <v>66.686351999999999</v>
      </c>
    </row>
    <row r="30" spans="2:8">
      <c r="B30" s="73">
        <v>4.2</v>
      </c>
      <c r="C30" s="74" t="s">
        <v>32</v>
      </c>
      <c r="D30" s="105">
        <f>E30*G6</f>
        <v>240.30811615999997</v>
      </c>
      <c r="E30" s="105">
        <f>'[2]Lista 38-sf-orban balasz'!$Q$156/1000</f>
        <v>53.378079999999997</v>
      </c>
      <c r="F30" s="119">
        <f>D30*0.2</f>
        <v>48.061623231999995</v>
      </c>
      <c r="G30" s="119">
        <f>F30+D30</f>
        <v>288.36973939199999</v>
      </c>
      <c r="H30" s="119">
        <f>G30/$G$6</f>
        <v>64.053696000000002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490.49308007999991</v>
      </c>
      <c r="E32" s="105">
        <f>SUM(E29:E31)</f>
        <v>108.95004</v>
      </c>
      <c r="F32" s="105">
        <f>SUM(F29:F31)</f>
        <v>98.098616015999994</v>
      </c>
      <c r="G32" s="105">
        <f>SUM(G29:G31)</f>
        <v>588.59169609599996</v>
      </c>
      <c r="H32" s="105">
        <f>SUM(H29:H31)</f>
        <v>130.740048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>
        <f>0.1*(E29+E30+E31)</f>
        <v>10.895004</v>
      </c>
      <c r="F40" s="93"/>
      <c r="G40" s="93"/>
      <c r="H40" s="93"/>
    </row>
    <row r="41" spans="2:8">
      <c r="B41" s="96"/>
      <c r="C41" s="97" t="s">
        <v>49</v>
      </c>
      <c r="D41" s="98"/>
      <c r="E41" s="98">
        <f>SUM(E35:E40)</f>
        <v>10.895004</v>
      </c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514.31149633999996</v>
      </c>
      <c r="E47" s="103">
        <f>E16+E20+E25+E32+E41</f>
        <v>125.13567399999999</v>
      </c>
      <c r="F47" s="103">
        <f>F16+F20+F25+F32+F41</f>
        <v>98.500212423999997</v>
      </c>
      <c r="G47" s="103">
        <f>G16+G20+G25+G32+G41</f>
        <v>591.00127454400001</v>
      </c>
      <c r="H47" s="103">
        <f>H16+H20+H25+H32+H41</f>
        <v>131.275272</v>
      </c>
    </row>
    <row r="48" spans="2:8" ht="15">
      <c r="B48" s="101"/>
      <c r="C48" s="102" t="s">
        <v>56</v>
      </c>
      <c r="D48" s="103">
        <f>D14+D15+D20+D30+D31+D29+D36</f>
        <v>490.49308007999991</v>
      </c>
      <c r="E48" s="103">
        <f>E14+E15+E20+E29+E30+E31+E36</f>
        <v>108.95004</v>
      </c>
      <c r="F48" s="103">
        <f>F14+F15+F20+F29+F30+F31+F36</f>
        <v>98.098616015999994</v>
      </c>
      <c r="G48" s="103">
        <f>G14+G15+G20+G29+G30+G31+G36</f>
        <v>588.59169609599996</v>
      </c>
      <c r="H48" s="103">
        <f>H14+H15+H20+H29+H30+H31+H36</f>
        <v>130.740048</v>
      </c>
    </row>
    <row r="49" spans="2:8" ht="15">
      <c r="B49" s="204" t="s">
        <v>101</v>
      </c>
      <c r="C49" s="204"/>
      <c r="D49" s="129"/>
      <c r="E49" s="133">
        <v>1.0903079228170436</v>
      </c>
      <c r="F49" s="129"/>
      <c r="G49" s="129"/>
      <c r="H49" s="129"/>
    </row>
    <row r="50" spans="2:8" ht="15">
      <c r="B50" s="205" t="s">
        <v>103</v>
      </c>
      <c r="C50" s="204"/>
      <c r="D50" s="129"/>
      <c r="E50" s="103">
        <f>E48*E49</f>
        <v>118.78909180323382</v>
      </c>
      <c r="F50" s="129"/>
      <c r="G50" s="129"/>
      <c r="H50" s="129"/>
    </row>
  </sheetData>
  <mergeCells count="21">
    <mergeCell ref="B34:H34"/>
    <mergeCell ref="B49:C49"/>
    <mergeCell ref="B50:C50"/>
    <mergeCell ref="C1:G3"/>
    <mergeCell ref="B4:F4"/>
    <mergeCell ref="B8:B10"/>
    <mergeCell ref="C8:C10"/>
    <mergeCell ref="D8:E9"/>
    <mergeCell ref="F8:F9"/>
    <mergeCell ref="G8:H9"/>
    <mergeCell ref="B26:H26"/>
    <mergeCell ref="B43:H43"/>
    <mergeCell ref="C11:H11"/>
    <mergeCell ref="C12:H12"/>
    <mergeCell ref="B17:H17"/>
    <mergeCell ref="B18:H18"/>
    <mergeCell ref="B21:H21"/>
    <mergeCell ref="B22:H22"/>
    <mergeCell ref="B42:H42"/>
    <mergeCell ref="B27:H27"/>
    <mergeCell ref="B33:H33"/>
  </mergeCells>
  <phoneticPr fontId="0" type="noConversion"/>
  <pageMargins left="0.59027777777777779" right="0.19652777777777777" top="0.78749999999999998" bottom="0.78749999999999998" header="0.51111111111111107" footer="0.51111111111111107"/>
  <pageSetup paperSize="9" scale="98" firstPageNumber="42949631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A31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8.425781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81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6.5909299999999993</v>
      </c>
      <c r="E23" s="118">
        <f>0.65418+0.8311</f>
        <v>1.4852799999999999</v>
      </c>
      <c r="F23" s="119">
        <f>D23*0.24</f>
        <v>1.5818231999999999</v>
      </c>
      <c r="G23" s="119">
        <f>F23+D23</f>
        <v>8.1727531999999989</v>
      </c>
      <c r="H23" s="119">
        <f>G23/$G$6</f>
        <v>1.8417471999999997</v>
      </c>
    </row>
    <row r="24" spans="2:8">
      <c r="B24" s="79">
        <v>3.2</v>
      </c>
      <c r="C24" s="80" t="s">
        <v>66</v>
      </c>
      <c r="D24" s="120">
        <f>E24*G6</f>
        <v>77.487935625000006</v>
      </c>
      <c r="E24" s="120">
        <v>17.462070000000001</v>
      </c>
      <c r="F24" s="119">
        <f>D24*0.24</f>
        <v>18.597104550000001</v>
      </c>
      <c r="G24" s="119">
        <f>F24+D24</f>
        <v>96.085040175000003</v>
      </c>
      <c r="H24" s="119">
        <f>G24/$G$6</f>
        <v>21.652966800000002</v>
      </c>
    </row>
    <row r="25" spans="2:8">
      <c r="B25" s="76"/>
      <c r="C25" s="77" t="s">
        <v>27</v>
      </c>
      <c r="D25" s="81">
        <f>SUM(D23:D24)</f>
        <v>84.078865625000006</v>
      </c>
      <c r="E25" s="81">
        <f>SUM(E23:E24)</f>
        <v>18.94735</v>
      </c>
      <c r="F25" s="81">
        <f>SUM(F23:F23)</f>
        <v>1.5818231999999999</v>
      </c>
      <c r="G25" s="81">
        <f>SUM(G23:G23)</f>
        <v>8.1727531999999989</v>
      </c>
      <c r="H25" s="81">
        <f>SUM(H23:H23)</f>
        <v>1.8417471999999997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674.38387062499999</v>
      </c>
      <c r="E29" s="105">
        <v>151.97382999999999</v>
      </c>
      <c r="F29" s="119">
        <f>D29*0.24</f>
        <v>161.85212894999998</v>
      </c>
      <c r="G29" s="119">
        <f>F29+D29</f>
        <v>836.23599957499994</v>
      </c>
      <c r="H29" s="119">
        <f>G29/$G$6</f>
        <v>188.4475492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129.08940437499999</v>
      </c>
      <c r="E31" s="105">
        <v>29.09057</v>
      </c>
      <c r="F31" s="119">
        <f>D31*0.24</f>
        <v>30.981457049999996</v>
      </c>
      <c r="G31" s="119">
        <f>F31+D31</f>
        <v>160.07086142499998</v>
      </c>
      <c r="H31" s="119">
        <f>G31/$G$6</f>
        <v>36.072306799999993</v>
      </c>
    </row>
    <row r="32" spans="2:8">
      <c r="B32" s="85"/>
      <c r="C32" s="86" t="s">
        <v>34</v>
      </c>
      <c r="D32" s="105">
        <f>SUM(D29:D31)</f>
        <v>803.47327499999994</v>
      </c>
      <c r="E32" s="105">
        <f>SUM(E29:E31)</f>
        <v>181.06439999999998</v>
      </c>
      <c r="F32" s="105">
        <f>SUM(F29:F31)</f>
        <v>192.83358599999997</v>
      </c>
      <c r="G32" s="105">
        <f>SUM(G29:G31)</f>
        <v>996.30686099999991</v>
      </c>
      <c r="H32" s="105">
        <f>SUM(H29:H31)</f>
        <v>224.519856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887.55214062499999</v>
      </c>
      <c r="E47" s="103">
        <f>E16+E20+E25+E32+E41</f>
        <v>200.01174999999998</v>
      </c>
      <c r="F47" s="103">
        <f>F16+F20+F25+F32+F41</f>
        <v>194.41540919999997</v>
      </c>
      <c r="G47" s="103">
        <f>G16+G20+G25+G32+G41</f>
        <v>1004.4796141999999</v>
      </c>
      <c r="H47" s="103">
        <f>H16+H20+H25+H32+H41</f>
        <v>226.36160319999999</v>
      </c>
    </row>
    <row r="48" spans="2:8" ht="15">
      <c r="B48" s="101"/>
      <c r="C48" s="102" t="s">
        <v>56</v>
      </c>
      <c r="D48" s="103">
        <f>D14+D15+D20+D30+D31+D29+D36</f>
        <v>803.47327499999994</v>
      </c>
      <c r="E48" s="103">
        <f>E14+E15+E20+E29+E30+E31+E36</f>
        <v>181.06439999999998</v>
      </c>
      <c r="F48" s="103">
        <f>F14+F15+F20+F29+F30+F31+F36</f>
        <v>192.83358599999997</v>
      </c>
      <c r="G48" s="103">
        <f>G14+G15+G20+G29+G30+G31+G36</f>
        <v>996.30686099999991</v>
      </c>
      <c r="H48" s="103">
        <f>H14+H15+H20+H29+H30+H31+H36</f>
        <v>224.519856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B1:N49"/>
  <sheetViews>
    <sheetView view="pageBreakPreview" topLeftCell="A34" zoomScaleSheetLayoutView="100" workbookViewId="0">
      <selection activeCell="C36" sqref="C36"/>
    </sheetView>
  </sheetViews>
  <sheetFormatPr defaultColWidth="9.140625" defaultRowHeight="12.75"/>
  <cols>
    <col min="1" max="1" width="3.28515625" customWidth="1"/>
    <col min="2" max="2" width="5.5703125" customWidth="1"/>
    <col min="3" max="3" width="38.42578125" customWidth="1"/>
    <col min="4" max="4" width="11.42578125" customWidth="1"/>
    <col min="5" max="5" width="10" customWidth="1"/>
    <col min="6" max="6" width="9.42578125" customWidth="1"/>
    <col min="7" max="7" width="9.7109375" customWidth="1"/>
    <col min="8" max="8" width="8.42578125" customWidth="1"/>
    <col min="12" max="12" width="10.5703125" bestFit="1" customWidth="1"/>
    <col min="13" max="13" width="12.85546875" bestFit="1" customWidth="1"/>
  </cols>
  <sheetData>
    <row r="1" spans="2:8">
      <c r="B1" s="14"/>
      <c r="C1" s="159" t="s">
        <v>59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3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4">
      <c r="B17" s="150" t="s">
        <v>18</v>
      </c>
      <c r="C17" s="151"/>
      <c r="D17" s="151"/>
      <c r="E17" s="151"/>
      <c r="F17" s="151"/>
      <c r="G17" s="151"/>
      <c r="H17" s="152"/>
    </row>
    <row r="18" spans="2:14">
      <c r="B18" s="135" t="s">
        <v>19</v>
      </c>
      <c r="C18" s="136"/>
      <c r="D18" s="136"/>
      <c r="E18" s="136"/>
      <c r="F18" s="136"/>
      <c r="G18" s="136"/>
      <c r="H18" s="137"/>
    </row>
    <row r="19" spans="2:14" ht="25.5">
      <c r="B19" s="17"/>
      <c r="C19" s="11" t="s">
        <v>20</v>
      </c>
      <c r="D19" s="29"/>
      <c r="E19" s="29"/>
      <c r="F19" s="30"/>
      <c r="G19" s="30"/>
      <c r="H19" s="30"/>
      <c r="L19" s="106"/>
      <c r="M19" s="106"/>
      <c r="N19" s="106"/>
    </row>
    <row r="20" spans="2:14">
      <c r="B20" s="10"/>
      <c r="C20" s="13" t="s">
        <v>21</v>
      </c>
      <c r="D20" s="32"/>
      <c r="E20" s="32"/>
      <c r="F20" s="32"/>
      <c r="G20" s="32"/>
      <c r="H20" s="32"/>
      <c r="L20" s="106"/>
      <c r="M20" s="106"/>
      <c r="N20" s="106"/>
    </row>
    <row r="21" spans="2:14">
      <c r="B21" s="150" t="s">
        <v>22</v>
      </c>
      <c r="C21" s="151"/>
      <c r="D21" s="151"/>
      <c r="E21" s="151"/>
      <c r="F21" s="151"/>
      <c r="G21" s="151"/>
      <c r="H21" s="152"/>
      <c r="L21" s="106"/>
      <c r="M21" s="106"/>
      <c r="N21" s="106"/>
    </row>
    <row r="22" spans="2:14">
      <c r="B22" s="135" t="s">
        <v>23</v>
      </c>
      <c r="C22" s="136"/>
      <c r="D22" s="136"/>
      <c r="E22" s="136"/>
      <c r="F22" s="136"/>
      <c r="G22" s="136"/>
      <c r="H22" s="137"/>
      <c r="L22" s="106"/>
      <c r="M22" s="106"/>
      <c r="N22" s="106"/>
    </row>
    <row r="23" spans="2:14" ht="15">
      <c r="B23" s="17" t="s">
        <v>24</v>
      </c>
      <c r="C23" s="11" t="s">
        <v>25</v>
      </c>
      <c r="D23" s="57">
        <f>E23*G6</f>
        <v>6.1992762499999996</v>
      </c>
      <c r="E23" s="57">
        <f>0.69851*2</f>
        <v>1.3970199999999999</v>
      </c>
      <c r="F23" s="55">
        <f>D23*0.24</f>
        <v>1.4878262999999998</v>
      </c>
      <c r="G23" s="55">
        <f>F23+D23</f>
        <v>7.6871025499999996</v>
      </c>
      <c r="H23" s="55">
        <f>G23/$G$6</f>
        <v>1.7323047999999999</v>
      </c>
      <c r="L23" s="109"/>
      <c r="M23" s="106"/>
      <c r="N23" s="106"/>
    </row>
    <row r="24" spans="2:14">
      <c r="B24" s="40">
        <v>3.2</v>
      </c>
      <c r="C24" s="56" t="s">
        <v>26</v>
      </c>
      <c r="D24" s="117">
        <f>E24*G6</f>
        <v>64.470307500000004</v>
      </c>
      <c r="E24" s="117">
        <v>14.52852</v>
      </c>
      <c r="F24" s="55">
        <f>D24*0.24</f>
        <v>15.4728738</v>
      </c>
      <c r="G24" s="55">
        <f>F24+D24</f>
        <v>79.943181300000006</v>
      </c>
      <c r="H24" s="55">
        <f>G24/$G$6</f>
        <v>18.0153648</v>
      </c>
      <c r="L24" s="106"/>
      <c r="M24" s="106"/>
      <c r="N24" s="106"/>
    </row>
    <row r="25" spans="2:14">
      <c r="B25" s="10"/>
      <c r="C25" s="13" t="s">
        <v>27</v>
      </c>
      <c r="D25" s="48">
        <f>SUM(D23:D24)</f>
        <v>70.669583750000001</v>
      </c>
      <c r="E25" s="48">
        <f>SUM(E23:E24)</f>
        <v>15.92554</v>
      </c>
      <c r="F25" s="122">
        <f>SUM(F23:F24)</f>
        <v>16.9607001</v>
      </c>
      <c r="G25" s="123">
        <f>SUM(G23:G24)</f>
        <v>87.630283850000012</v>
      </c>
      <c r="H25" s="123">
        <f>SUM(H23:H24)</f>
        <v>19.747669600000002</v>
      </c>
      <c r="L25" s="106"/>
      <c r="M25" s="106"/>
      <c r="N25" s="106"/>
    </row>
    <row r="26" spans="2:14">
      <c r="B26" s="150" t="s">
        <v>28</v>
      </c>
      <c r="C26" s="151"/>
      <c r="D26" s="151"/>
      <c r="E26" s="151"/>
      <c r="F26" s="151"/>
      <c r="G26" s="151"/>
      <c r="H26" s="152"/>
      <c r="L26" s="106"/>
      <c r="M26" s="106"/>
      <c r="N26" s="106"/>
    </row>
    <row r="27" spans="2:14">
      <c r="B27" s="135" t="s">
        <v>29</v>
      </c>
      <c r="C27" s="136"/>
      <c r="D27" s="136"/>
      <c r="E27" s="136"/>
      <c r="F27" s="136"/>
      <c r="G27" s="136"/>
      <c r="H27" s="137"/>
      <c r="L27" s="106"/>
      <c r="M27" s="106"/>
      <c r="N27" s="106"/>
    </row>
    <row r="28" spans="2:14">
      <c r="B28" s="41">
        <v>4</v>
      </c>
      <c r="C28" s="42" t="s">
        <v>30</v>
      </c>
      <c r="D28" s="42"/>
      <c r="E28" s="42"/>
      <c r="F28" s="42"/>
      <c r="G28" s="42"/>
      <c r="H28" s="43"/>
      <c r="L28" s="106"/>
      <c r="M28" s="106"/>
      <c r="N28" s="106"/>
    </row>
    <row r="29" spans="2:14" ht="25.5">
      <c r="B29" s="17">
        <v>4.0999999999999996</v>
      </c>
      <c r="C29" s="11" t="s">
        <v>31</v>
      </c>
      <c r="D29" s="57">
        <f>E29*G6</f>
        <v>1629.9592474999999</v>
      </c>
      <c r="E29" s="57">
        <v>367.31475999999998</v>
      </c>
      <c r="F29" s="55">
        <f>D29*0.24</f>
        <v>391.19021939999999</v>
      </c>
      <c r="G29" s="55">
        <f>F29+D29</f>
        <v>2021.1494668999999</v>
      </c>
      <c r="H29" s="55">
        <f>G29/$G$6</f>
        <v>455.47030239999998</v>
      </c>
      <c r="L29" s="106"/>
      <c r="M29" s="106"/>
      <c r="N29" s="106"/>
    </row>
    <row r="30" spans="2:14">
      <c r="B30" s="18">
        <v>4.2</v>
      </c>
      <c r="C30" s="1" t="s">
        <v>32</v>
      </c>
      <c r="D30" s="57">
        <f>E30*G6</f>
        <v>566.81971375000001</v>
      </c>
      <c r="E30" s="57">
        <v>127.73402</v>
      </c>
      <c r="F30" s="55">
        <f>D30*0.24</f>
        <v>136.03673129999999</v>
      </c>
      <c r="G30" s="55">
        <f>F30+D30</f>
        <v>702.85644505000005</v>
      </c>
      <c r="H30" s="55">
        <f>G30/$G$6</f>
        <v>158.39018480000001</v>
      </c>
      <c r="L30" s="106"/>
      <c r="M30" s="106"/>
      <c r="N30" s="106"/>
    </row>
    <row r="31" spans="2:14">
      <c r="B31" s="18">
        <v>4.3</v>
      </c>
      <c r="C31" s="1" t="s">
        <v>33</v>
      </c>
      <c r="D31" s="57">
        <f>E31*G6</f>
        <v>0</v>
      </c>
      <c r="E31" s="57">
        <v>0</v>
      </c>
      <c r="F31" s="55">
        <f>D31*0.24</f>
        <v>0</v>
      </c>
      <c r="G31" s="55">
        <f>F31+D31</f>
        <v>0</v>
      </c>
      <c r="H31" s="55">
        <f>G31/$G$6</f>
        <v>0</v>
      </c>
      <c r="L31" s="106"/>
      <c r="M31" s="106"/>
      <c r="N31" s="106"/>
    </row>
    <row r="32" spans="2:14">
      <c r="B32" s="19"/>
      <c r="C32" s="12" t="s">
        <v>34</v>
      </c>
      <c r="D32" s="54">
        <f>SUM(D29:D31)</f>
        <v>2196.7789612500001</v>
      </c>
      <c r="E32" s="54">
        <f>SUM(E29:E31)</f>
        <v>495.04877999999997</v>
      </c>
      <c r="F32" s="54">
        <f>SUM(F29:F31)</f>
        <v>527.22695069999997</v>
      </c>
      <c r="G32" s="54">
        <f>SUM(G29:G31)</f>
        <v>2724.0059119500002</v>
      </c>
      <c r="H32" s="54">
        <f>SUM(H29:H31)</f>
        <v>613.86048719999997</v>
      </c>
      <c r="L32" s="106"/>
      <c r="M32" s="106"/>
      <c r="N32" s="106"/>
    </row>
    <row r="33" spans="2:14">
      <c r="B33" s="144" t="s">
        <v>35</v>
      </c>
      <c r="C33" s="145"/>
      <c r="D33" s="145"/>
      <c r="E33" s="145"/>
      <c r="F33" s="145"/>
      <c r="G33" s="145"/>
      <c r="H33" s="146"/>
      <c r="L33" s="106"/>
      <c r="M33" s="106"/>
      <c r="N33" s="106"/>
    </row>
    <row r="34" spans="2:14">
      <c r="B34" s="147" t="s">
        <v>36</v>
      </c>
      <c r="C34" s="148"/>
      <c r="D34" s="148"/>
      <c r="E34" s="148"/>
      <c r="F34" s="148"/>
      <c r="G34" s="148"/>
      <c r="H34" s="149"/>
      <c r="L34" s="106"/>
      <c r="M34" s="106"/>
      <c r="N34" s="106"/>
    </row>
    <row r="35" spans="2:14">
      <c r="B35" s="21" t="s">
        <v>37</v>
      </c>
      <c r="C35" s="1" t="s">
        <v>38</v>
      </c>
      <c r="D35" s="6"/>
      <c r="E35" s="6"/>
      <c r="F35" s="6"/>
      <c r="G35" s="6"/>
      <c r="H35" s="6"/>
      <c r="L35" s="106"/>
      <c r="M35" s="106"/>
      <c r="N35" s="106"/>
    </row>
    <row r="36" spans="2:14" ht="25.5">
      <c r="B36" s="21" t="s">
        <v>39</v>
      </c>
      <c r="C36" s="1" t="s">
        <v>40</v>
      </c>
      <c r="D36" s="50"/>
      <c r="E36" s="34"/>
      <c r="F36" s="35"/>
      <c r="G36" s="35"/>
      <c r="H36" s="35"/>
      <c r="L36" s="106"/>
      <c r="M36" s="106"/>
      <c r="N36" s="106"/>
    </row>
    <row r="37" spans="2:14" ht="25.5">
      <c r="B37" s="20" t="s">
        <v>41</v>
      </c>
      <c r="C37" s="1" t="s">
        <v>42</v>
      </c>
      <c r="D37" s="34"/>
      <c r="E37" s="34"/>
      <c r="F37" s="35"/>
      <c r="G37" s="35"/>
      <c r="H37" s="35"/>
      <c r="L37" s="106"/>
      <c r="M37" s="106"/>
      <c r="N37" s="106"/>
    </row>
    <row r="38" spans="2:14" ht="25.5">
      <c r="B38" s="21" t="s">
        <v>43</v>
      </c>
      <c r="C38" s="1" t="s">
        <v>44</v>
      </c>
      <c r="D38" s="34"/>
      <c r="E38" s="34"/>
      <c r="F38" s="35"/>
      <c r="G38" s="35"/>
      <c r="H38" s="35"/>
      <c r="L38" s="106"/>
      <c r="M38" s="106"/>
      <c r="N38" s="106"/>
    </row>
    <row r="39" spans="2:14" ht="25.5">
      <c r="B39" s="20" t="s">
        <v>45</v>
      </c>
      <c r="C39" s="1" t="s">
        <v>46</v>
      </c>
      <c r="D39" s="34"/>
      <c r="E39" s="34"/>
      <c r="F39" s="35"/>
      <c r="G39" s="35"/>
      <c r="H39" s="35"/>
      <c r="L39" s="106"/>
      <c r="M39" s="106"/>
      <c r="N39" s="106"/>
    </row>
    <row r="40" spans="2:14">
      <c r="B40" s="20" t="s">
        <v>47</v>
      </c>
      <c r="C40" s="1" t="s">
        <v>48</v>
      </c>
      <c r="D40" s="34"/>
      <c r="E40" s="34"/>
      <c r="F40" s="35"/>
      <c r="G40" s="35"/>
      <c r="H40" s="35"/>
      <c r="L40" s="106"/>
      <c r="M40" s="106"/>
      <c r="N40" s="106"/>
    </row>
    <row r="41" spans="2:14">
      <c r="B41" s="23"/>
      <c r="C41" s="24" t="s">
        <v>49</v>
      </c>
      <c r="D41" s="33"/>
      <c r="E41" s="33"/>
      <c r="F41" s="33"/>
      <c r="G41" s="33"/>
      <c r="H41" s="33"/>
      <c r="L41" s="106"/>
      <c r="M41" s="106"/>
      <c r="N41" s="106"/>
    </row>
    <row r="42" spans="2:14">
      <c r="B42" s="150" t="s">
        <v>50</v>
      </c>
      <c r="C42" s="151"/>
      <c r="D42" s="151"/>
      <c r="E42" s="151"/>
      <c r="F42" s="151"/>
      <c r="G42" s="151"/>
      <c r="H42" s="152"/>
      <c r="L42" s="106"/>
      <c r="M42" s="106"/>
      <c r="N42" s="106"/>
    </row>
    <row r="43" spans="2:14">
      <c r="B43" s="135" t="s">
        <v>51</v>
      </c>
      <c r="C43" s="136"/>
      <c r="D43" s="136"/>
      <c r="E43" s="136"/>
      <c r="F43" s="136"/>
      <c r="G43" s="136"/>
      <c r="H43" s="137"/>
      <c r="L43" s="106"/>
      <c r="M43" s="106"/>
      <c r="N43" s="106"/>
    </row>
    <row r="44" spans="2:14">
      <c r="B44" s="17">
        <v>6.1</v>
      </c>
      <c r="C44" s="11" t="s">
        <v>52</v>
      </c>
      <c r="D44" s="34"/>
      <c r="E44" s="34"/>
      <c r="F44" s="35"/>
      <c r="G44" s="35"/>
      <c r="H44" s="35"/>
      <c r="L44" s="106"/>
      <c r="M44" s="106"/>
      <c r="N44" s="106"/>
    </row>
    <row r="45" spans="2:14">
      <c r="B45" s="18">
        <v>6.2</v>
      </c>
      <c r="C45" s="1" t="s">
        <v>53</v>
      </c>
      <c r="D45" s="34"/>
      <c r="E45" s="34"/>
      <c r="F45" s="35"/>
      <c r="G45" s="35"/>
      <c r="H45" s="35"/>
      <c r="L45" s="106"/>
      <c r="M45" s="106"/>
      <c r="N45" s="106"/>
    </row>
    <row r="46" spans="2:14">
      <c r="B46" s="10"/>
      <c r="C46" s="22" t="s">
        <v>54</v>
      </c>
      <c r="D46" s="36"/>
      <c r="E46" s="36"/>
      <c r="F46" s="36"/>
      <c r="G46" s="36"/>
      <c r="H46" s="36"/>
      <c r="L46" s="106"/>
      <c r="M46" s="106"/>
      <c r="N46" s="106"/>
    </row>
    <row r="47" spans="2:14" ht="15">
      <c r="B47" s="47"/>
      <c r="C47" s="46" t="s">
        <v>55</v>
      </c>
      <c r="D47" s="49">
        <f>D46+D41+D32+D25+D20+D16</f>
        <v>2267.4485450000002</v>
      </c>
      <c r="E47" s="49">
        <f>E16+E20+E25+E32+E41</f>
        <v>510.97431999999998</v>
      </c>
      <c r="F47" s="49">
        <f>F16+F20+F25+F32+F41</f>
        <v>544.18765080000003</v>
      </c>
      <c r="G47" s="49">
        <f>G16+G20+G25+G32+G41</f>
        <v>2811.6361958000002</v>
      </c>
      <c r="H47" s="49">
        <f>H16+H20+H25+H32+H41</f>
        <v>633.60815679999996</v>
      </c>
      <c r="L47" s="106"/>
      <c r="M47" s="106"/>
      <c r="N47" s="106"/>
    </row>
    <row r="48" spans="2:14" ht="15">
      <c r="B48" s="47"/>
      <c r="C48" s="46" t="s">
        <v>56</v>
      </c>
      <c r="D48" s="49">
        <f>D14+D15+D20+D30+D31+D29+D36</f>
        <v>2196.7789612500001</v>
      </c>
      <c r="E48" s="49">
        <f>E14+E15+E20+E29+E30+E31+E36</f>
        <v>495.04877999999997</v>
      </c>
      <c r="F48" s="49">
        <f>F14+F15+F20+F29+F30+F31+F36</f>
        <v>527.22695069999997</v>
      </c>
      <c r="G48" s="49">
        <f>G14+G15+G20+G29+G30+G31+G36</f>
        <v>2724.0059119500002</v>
      </c>
      <c r="H48" s="49">
        <f>H14+H15+H20+H29+H30+H31+H36</f>
        <v>613.86048719999997</v>
      </c>
      <c r="L48" s="106"/>
      <c r="M48" s="106"/>
      <c r="N48" s="106"/>
    </row>
    <row r="49" spans="12:14">
      <c r="L49" s="106"/>
      <c r="M49" s="106"/>
      <c r="N49" s="106"/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3937499999999999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B1:N48"/>
  <sheetViews>
    <sheetView view="pageBreakPreview" topLeftCell="A28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6" customWidth="1"/>
    <col min="3" max="3" width="38.85546875" customWidth="1"/>
    <col min="4" max="4" width="9.5703125" customWidth="1"/>
    <col min="5" max="5" width="8.42578125" customWidth="1"/>
    <col min="6" max="6" width="9.28515625" customWidth="1"/>
    <col min="7" max="7" width="9.5703125" customWidth="1"/>
    <col min="8" max="8" width="8.7109375" customWidth="1"/>
    <col min="12" max="12" width="12.140625" bestFit="1" customWidth="1"/>
  </cols>
  <sheetData>
    <row r="1" spans="2:8">
      <c r="B1" s="14"/>
      <c r="C1" s="159" t="s">
        <v>60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6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 t="s">
        <v>61</v>
      </c>
      <c r="G5" s="26"/>
      <c r="H5" s="2"/>
    </row>
    <row r="6" spans="2:8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4">
      <c r="B17" s="150" t="s">
        <v>18</v>
      </c>
      <c r="C17" s="151"/>
      <c r="D17" s="151"/>
      <c r="E17" s="151"/>
      <c r="F17" s="151"/>
      <c r="G17" s="151"/>
      <c r="H17" s="152"/>
    </row>
    <row r="18" spans="2:14">
      <c r="B18" s="135" t="s">
        <v>19</v>
      </c>
      <c r="C18" s="136"/>
      <c r="D18" s="136"/>
      <c r="E18" s="136"/>
      <c r="F18" s="136"/>
      <c r="G18" s="136"/>
      <c r="H18" s="137"/>
    </row>
    <row r="19" spans="2:14" ht="25.5">
      <c r="B19" s="17"/>
      <c r="C19" s="11" t="s">
        <v>20</v>
      </c>
      <c r="D19" s="29"/>
      <c r="E19" s="29"/>
      <c r="F19" s="30"/>
      <c r="G19" s="30"/>
      <c r="H19" s="30"/>
    </row>
    <row r="20" spans="2:14">
      <c r="B20" s="10"/>
      <c r="C20" s="13" t="s">
        <v>21</v>
      </c>
      <c r="D20" s="32"/>
      <c r="E20" s="32"/>
      <c r="F20" s="32"/>
      <c r="G20" s="32"/>
      <c r="H20" s="32"/>
    </row>
    <row r="21" spans="2:14">
      <c r="B21" s="150" t="s">
        <v>22</v>
      </c>
      <c r="C21" s="151"/>
      <c r="D21" s="151"/>
      <c r="E21" s="151"/>
      <c r="F21" s="151"/>
      <c r="G21" s="151"/>
      <c r="H21" s="152"/>
    </row>
    <row r="22" spans="2:14">
      <c r="B22" s="135" t="s">
        <v>23</v>
      </c>
      <c r="C22" s="136"/>
      <c r="D22" s="136"/>
      <c r="E22" s="136"/>
      <c r="F22" s="136"/>
      <c r="G22" s="136"/>
      <c r="H22" s="137"/>
    </row>
    <row r="23" spans="2:14">
      <c r="B23" s="17" t="s">
        <v>24</v>
      </c>
      <c r="C23" s="11" t="s">
        <v>25</v>
      </c>
      <c r="D23" s="57">
        <f>E23*G6</f>
        <v>1.8649037500000001</v>
      </c>
      <c r="E23" s="57">
        <f>0.19713*2+0.026</f>
        <v>0.42026000000000002</v>
      </c>
      <c r="F23" s="55">
        <f>D23*0.24</f>
        <v>0.4475769</v>
      </c>
      <c r="G23" s="55">
        <f>F23+D23</f>
        <v>2.3124806499999999</v>
      </c>
      <c r="H23" s="55">
        <f>G23/$G$6</f>
        <v>0.52112239999999999</v>
      </c>
    </row>
    <row r="24" spans="2:14">
      <c r="B24" s="40" t="s">
        <v>62</v>
      </c>
      <c r="C24" s="56" t="s">
        <v>26</v>
      </c>
      <c r="D24" s="117">
        <f>E24*G6</f>
        <v>19.421162499999998</v>
      </c>
      <c r="E24" s="117">
        <v>4.3765999999999998</v>
      </c>
      <c r="F24" s="55">
        <f>D24*0.24</f>
        <v>4.6610789999999991</v>
      </c>
      <c r="G24" s="55">
        <f>F24+D24</f>
        <v>24.082241499999995</v>
      </c>
      <c r="H24" s="55">
        <f>G24/$G$6</f>
        <v>5.4269839999999991</v>
      </c>
    </row>
    <row r="25" spans="2:14">
      <c r="B25" s="10"/>
      <c r="C25" s="13" t="s">
        <v>27</v>
      </c>
      <c r="D25" s="48">
        <f>SUM(D23:D24)</f>
        <v>21.286066249999998</v>
      </c>
      <c r="E25" s="48">
        <f>SUM(E23:E24)</f>
        <v>4.7968599999999997</v>
      </c>
      <c r="F25" s="48">
        <f>SUM(F23:F24)</f>
        <v>5.1086558999999987</v>
      </c>
      <c r="G25" s="48">
        <f>SUM(G23:G24)</f>
        <v>26.394722149999996</v>
      </c>
      <c r="H25" s="48">
        <f>SUM(H23:H24)</f>
        <v>5.9481063999999995</v>
      </c>
    </row>
    <row r="26" spans="2:14">
      <c r="B26" s="150" t="s">
        <v>28</v>
      </c>
      <c r="C26" s="151"/>
      <c r="D26" s="151"/>
      <c r="E26" s="151"/>
      <c r="F26" s="151"/>
      <c r="G26" s="151"/>
      <c r="H26" s="152"/>
    </row>
    <row r="27" spans="2:14">
      <c r="B27" s="135" t="s">
        <v>29</v>
      </c>
      <c r="C27" s="136"/>
      <c r="D27" s="136"/>
      <c r="E27" s="136"/>
      <c r="F27" s="136"/>
      <c r="G27" s="136"/>
      <c r="H27" s="137"/>
      <c r="L27" s="106"/>
      <c r="M27" s="106"/>
      <c r="N27" s="106"/>
    </row>
    <row r="28" spans="2:14">
      <c r="B28" s="41">
        <v>4</v>
      </c>
      <c r="C28" s="42" t="s">
        <v>30</v>
      </c>
      <c r="D28" s="42"/>
      <c r="E28" s="42"/>
      <c r="F28" s="42"/>
      <c r="G28" s="42"/>
      <c r="H28" s="43"/>
      <c r="L28" s="106"/>
      <c r="M28" s="106"/>
      <c r="N28" s="106"/>
    </row>
    <row r="29" spans="2:14" ht="25.5">
      <c r="B29" s="17">
        <v>4.0999999999999996</v>
      </c>
      <c r="C29" s="11" t="s">
        <v>31</v>
      </c>
      <c r="D29" s="54">
        <f>E29*G6</f>
        <v>515.48884375</v>
      </c>
      <c r="E29" s="54">
        <v>116.1665</v>
      </c>
      <c r="F29" s="55">
        <f>D29*0.24</f>
        <v>123.71732249999999</v>
      </c>
      <c r="G29" s="55">
        <f>F29+D29</f>
        <v>639.20616625000002</v>
      </c>
      <c r="H29" s="55">
        <f>G29/$G$6</f>
        <v>144.04646</v>
      </c>
      <c r="L29" s="110"/>
      <c r="M29" s="106"/>
      <c r="N29" s="106"/>
    </row>
    <row r="30" spans="2:14">
      <c r="B30" s="18">
        <v>4.2</v>
      </c>
      <c r="C30" s="1" t="s">
        <v>32</v>
      </c>
      <c r="D30" s="54">
        <f>E30*G6</f>
        <v>0</v>
      </c>
      <c r="E30" s="54">
        <v>0</v>
      </c>
      <c r="F30" s="55">
        <f>D30*0.24</f>
        <v>0</v>
      </c>
      <c r="G30" s="55">
        <f>F30+D30</f>
        <v>0</v>
      </c>
      <c r="H30" s="55">
        <f>G30/$G$6</f>
        <v>0</v>
      </c>
      <c r="L30" s="106"/>
      <c r="M30" s="106"/>
      <c r="N30" s="106"/>
    </row>
    <row r="31" spans="2:14">
      <c r="B31" s="18">
        <v>4.3</v>
      </c>
      <c r="C31" s="1" t="s">
        <v>33</v>
      </c>
      <c r="D31" s="54">
        <f>E31*G6</f>
        <v>177.77419312500001</v>
      </c>
      <c r="E31" s="54">
        <v>40.061790000000002</v>
      </c>
      <c r="F31" s="55">
        <f>D31*0.24</f>
        <v>42.665806350000004</v>
      </c>
      <c r="G31" s="55">
        <f>F31+D31</f>
        <v>220.43999947500001</v>
      </c>
      <c r="H31" s="55">
        <f>G31/$G$6</f>
        <v>49.676619600000002</v>
      </c>
      <c r="L31" s="106"/>
      <c r="M31" s="106"/>
      <c r="N31" s="106"/>
    </row>
    <row r="32" spans="2:14">
      <c r="B32" s="19"/>
      <c r="C32" s="12" t="s">
        <v>34</v>
      </c>
      <c r="D32" s="54">
        <f>SUM(D29:D31)</f>
        <v>693.26303687500001</v>
      </c>
      <c r="E32" s="54">
        <f>SUM(E29:E31)</f>
        <v>156.22829000000002</v>
      </c>
      <c r="F32" s="54">
        <f>SUM(F29:F31)</f>
        <v>166.38312884999999</v>
      </c>
      <c r="G32" s="54">
        <f>SUM(G29:G31)</f>
        <v>859.64616572500006</v>
      </c>
      <c r="H32" s="54">
        <f>SUM(H29:H31)</f>
        <v>193.72307960000001</v>
      </c>
      <c r="L32" s="106"/>
      <c r="M32" s="106"/>
      <c r="N32" s="106"/>
    </row>
    <row r="33" spans="2:14">
      <c r="B33" s="144" t="s">
        <v>35</v>
      </c>
      <c r="C33" s="145"/>
      <c r="D33" s="145"/>
      <c r="E33" s="145"/>
      <c r="F33" s="145"/>
      <c r="G33" s="145"/>
      <c r="H33" s="146"/>
      <c r="L33" s="106"/>
      <c r="M33" s="106"/>
      <c r="N33" s="106"/>
    </row>
    <row r="34" spans="2:14">
      <c r="B34" s="147" t="s">
        <v>36</v>
      </c>
      <c r="C34" s="148"/>
      <c r="D34" s="148"/>
      <c r="E34" s="148"/>
      <c r="F34" s="148"/>
      <c r="G34" s="148"/>
      <c r="H34" s="149"/>
      <c r="L34" s="106"/>
      <c r="M34" s="106"/>
      <c r="N34" s="106"/>
    </row>
    <row r="35" spans="2:14">
      <c r="B35" s="21" t="s">
        <v>37</v>
      </c>
      <c r="C35" s="1" t="s">
        <v>38</v>
      </c>
      <c r="D35" s="6"/>
      <c r="E35" s="6"/>
      <c r="F35" s="6"/>
      <c r="G35" s="6"/>
      <c r="H35" s="6"/>
      <c r="L35" s="106"/>
      <c r="M35" s="106"/>
      <c r="N35" s="106"/>
    </row>
    <row r="36" spans="2:14" ht="25.5">
      <c r="B36" s="21" t="s">
        <v>39</v>
      </c>
      <c r="C36" s="1" t="s">
        <v>40</v>
      </c>
      <c r="D36" s="50"/>
      <c r="E36" s="34"/>
      <c r="F36" s="35"/>
      <c r="G36" s="35"/>
      <c r="H36" s="35"/>
      <c r="L36" s="106"/>
      <c r="M36" s="106"/>
      <c r="N36" s="106"/>
    </row>
    <row r="37" spans="2:14">
      <c r="B37" s="20" t="s">
        <v>41</v>
      </c>
      <c r="C37" s="1" t="s">
        <v>42</v>
      </c>
      <c r="D37" s="34"/>
      <c r="E37" s="34"/>
      <c r="F37" s="35"/>
      <c r="G37" s="35"/>
      <c r="H37" s="35"/>
      <c r="L37" s="106"/>
      <c r="M37" s="106"/>
      <c r="N37" s="106"/>
    </row>
    <row r="38" spans="2:14">
      <c r="B38" s="21" t="s">
        <v>43</v>
      </c>
      <c r="C38" s="1" t="s">
        <v>44</v>
      </c>
      <c r="D38" s="34"/>
      <c r="E38" s="34"/>
      <c r="F38" s="35"/>
      <c r="G38" s="35"/>
      <c r="H38" s="35"/>
      <c r="L38" s="106"/>
      <c r="M38" s="106"/>
      <c r="N38" s="106"/>
    </row>
    <row r="39" spans="2:14">
      <c r="B39" s="20" t="s">
        <v>45</v>
      </c>
      <c r="C39" s="1" t="s">
        <v>46</v>
      </c>
      <c r="D39" s="34"/>
      <c r="E39" s="34"/>
      <c r="F39" s="35"/>
      <c r="G39" s="35"/>
      <c r="H39" s="35"/>
      <c r="L39" s="106"/>
      <c r="M39" s="106"/>
      <c r="N39" s="106"/>
    </row>
    <row r="40" spans="2:14">
      <c r="B40" s="20" t="s">
        <v>47</v>
      </c>
      <c r="C40" s="1" t="s">
        <v>48</v>
      </c>
      <c r="D40" s="34"/>
      <c r="E40" s="34"/>
      <c r="F40" s="35"/>
      <c r="G40" s="35"/>
      <c r="H40" s="35"/>
      <c r="L40" s="106"/>
      <c r="M40" s="106"/>
      <c r="N40" s="106"/>
    </row>
    <row r="41" spans="2:14">
      <c r="B41" s="23"/>
      <c r="C41" s="24" t="s">
        <v>49</v>
      </c>
      <c r="D41" s="33"/>
      <c r="E41" s="33"/>
      <c r="F41" s="33"/>
      <c r="G41" s="33"/>
      <c r="H41" s="33"/>
      <c r="L41" s="106"/>
      <c r="M41" s="106"/>
      <c r="N41" s="106"/>
    </row>
    <row r="42" spans="2:14">
      <c r="B42" s="150" t="s">
        <v>50</v>
      </c>
      <c r="C42" s="151"/>
      <c r="D42" s="151"/>
      <c r="E42" s="151"/>
      <c r="F42" s="151"/>
      <c r="G42" s="151"/>
      <c r="H42" s="152"/>
      <c r="L42" s="106"/>
      <c r="M42" s="106"/>
      <c r="N42" s="106"/>
    </row>
    <row r="43" spans="2:14">
      <c r="B43" s="135" t="s">
        <v>51</v>
      </c>
      <c r="C43" s="136"/>
      <c r="D43" s="136"/>
      <c r="E43" s="136"/>
      <c r="F43" s="136"/>
      <c r="G43" s="136"/>
      <c r="H43" s="137"/>
    </row>
    <row r="44" spans="2:14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14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14">
      <c r="B46" s="10"/>
      <c r="C46" s="22" t="s">
        <v>54</v>
      </c>
      <c r="D46" s="36"/>
      <c r="E46" s="36"/>
      <c r="F46" s="36"/>
      <c r="G46" s="36"/>
      <c r="H46" s="36"/>
    </row>
    <row r="47" spans="2:14" ht="15">
      <c r="B47" s="47"/>
      <c r="C47" s="46" t="s">
        <v>55</v>
      </c>
      <c r="D47" s="49">
        <f>D46+D41+D32+D25+D20+D16</f>
        <v>714.54910312499999</v>
      </c>
      <c r="E47" s="49">
        <f>E16+E20+E25+E32+E41</f>
        <v>161.02515000000002</v>
      </c>
      <c r="F47" s="49">
        <f>F16+F20+F25+F32+F41</f>
        <v>171.49178474999999</v>
      </c>
      <c r="G47" s="49">
        <f>G16+G20+G25+G32+G41</f>
        <v>886.04088787500007</v>
      </c>
      <c r="H47" s="49">
        <f>H16+H20+H25+H32+H41</f>
        <v>199.67118600000001</v>
      </c>
    </row>
    <row r="48" spans="2:14" ht="15">
      <c r="B48" s="47"/>
      <c r="C48" s="46" t="s">
        <v>56</v>
      </c>
      <c r="D48" s="49">
        <f>D14+D15+D20+D30+D31+D29+D36</f>
        <v>693.26303687500001</v>
      </c>
      <c r="E48" s="49">
        <f>E14+E15+E20+E29+E30+E31+E36</f>
        <v>156.22829000000002</v>
      </c>
      <c r="F48" s="49">
        <f>F14+F15+F20+F29+F30+F31+F36</f>
        <v>166.38312884999999</v>
      </c>
      <c r="G48" s="49">
        <f>G14+G15+G20+G29+G30+G31+G36</f>
        <v>859.64616572500006</v>
      </c>
      <c r="H48" s="49">
        <f>H14+H15+H20+H29+H30+H31+H36</f>
        <v>193.72307960000001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75" right="0.75" top="1" bottom="1" header="0.51111111111111107" footer="0.51111111111111107"/>
  <pageSetup paperSize="9" scale="93" firstPageNumber="42949631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B1:M48"/>
  <sheetViews>
    <sheetView view="pageBreakPreview" topLeftCell="A28" zoomScaleSheetLayoutView="100" workbookViewId="0">
      <selection activeCell="C36" sqref="C36"/>
    </sheetView>
  </sheetViews>
  <sheetFormatPr defaultColWidth="9.140625" defaultRowHeight="12.75"/>
  <cols>
    <col min="1" max="1" width="4.28515625" customWidth="1"/>
    <col min="2" max="2" width="6" customWidth="1"/>
    <col min="3" max="3" width="38.5703125" customWidth="1"/>
    <col min="4" max="4" width="9.42578125" customWidth="1"/>
    <col min="5" max="5" width="10.42578125" customWidth="1"/>
    <col min="6" max="6" width="9" customWidth="1"/>
    <col min="7" max="8" width="9.5703125" customWidth="1"/>
    <col min="11" max="11" width="12.85546875" bestFit="1" customWidth="1"/>
  </cols>
  <sheetData>
    <row r="1" spans="2:8">
      <c r="B1" s="14"/>
      <c r="C1" s="159" t="s">
        <v>63</v>
      </c>
      <c r="D1" s="159"/>
      <c r="E1" s="159"/>
      <c r="F1" s="159"/>
      <c r="G1" s="159"/>
      <c r="H1" s="2"/>
    </row>
    <row r="2" spans="2:8">
      <c r="B2" s="14"/>
      <c r="C2" s="159"/>
      <c r="D2" s="159"/>
      <c r="E2" s="159"/>
      <c r="F2" s="159"/>
      <c r="G2" s="159"/>
      <c r="H2" s="2"/>
    </row>
    <row r="3" spans="2:8" ht="33" customHeight="1">
      <c r="B3" s="14"/>
      <c r="C3" s="160"/>
      <c r="D3" s="160"/>
      <c r="E3" s="160"/>
      <c r="F3" s="160"/>
      <c r="G3" s="160"/>
      <c r="H3" s="2"/>
    </row>
    <row r="4" spans="2:8">
      <c r="B4" s="153"/>
      <c r="C4" s="154"/>
      <c r="D4" s="154"/>
      <c r="E4" s="154"/>
      <c r="F4" s="154"/>
      <c r="G4" s="2"/>
      <c r="H4" s="2"/>
    </row>
    <row r="5" spans="2:8">
      <c r="B5" s="14"/>
      <c r="D5" s="2"/>
      <c r="E5" s="2"/>
      <c r="F5" s="25"/>
      <c r="G5" s="26"/>
      <c r="H5" s="2"/>
    </row>
    <row r="6" spans="2:8" ht="25.5">
      <c r="B6" s="14"/>
      <c r="D6" s="2"/>
      <c r="E6" s="2"/>
      <c r="F6" s="27" t="s">
        <v>1</v>
      </c>
      <c r="G6" s="28">
        <v>4.4375</v>
      </c>
      <c r="H6" s="2"/>
    </row>
    <row r="7" spans="2:8">
      <c r="B7" s="14"/>
      <c r="D7" s="2"/>
      <c r="E7" s="2"/>
      <c r="F7" s="3"/>
      <c r="G7" s="2"/>
      <c r="H7" s="2"/>
    </row>
    <row r="8" spans="2:8">
      <c r="B8" s="138" t="s">
        <v>2</v>
      </c>
      <c r="C8" s="140" t="s">
        <v>3</v>
      </c>
      <c r="D8" s="161" t="s">
        <v>4</v>
      </c>
      <c r="E8" s="162"/>
      <c r="F8" s="142" t="s">
        <v>5</v>
      </c>
      <c r="G8" s="161" t="s">
        <v>6</v>
      </c>
      <c r="H8" s="165"/>
    </row>
    <row r="9" spans="2:8">
      <c r="B9" s="139"/>
      <c r="C9" s="141"/>
      <c r="D9" s="163"/>
      <c r="E9" s="164"/>
      <c r="F9" s="143"/>
      <c r="G9" s="166"/>
      <c r="H9" s="167"/>
    </row>
    <row r="10" spans="2:8">
      <c r="B10" s="139"/>
      <c r="C10" s="141"/>
      <c r="D10" s="9" t="s">
        <v>7</v>
      </c>
      <c r="E10" s="9" t="s">
        <v>8</v>
      </c>
      <c r="F10" s="9" t="s">
        <v>7</v>
      </c>
      <c r="G10" s="9" t="s">
        <v>7</v>
      </c>
      <c r="H10" s="9" t="s">
        <v>8</v>
      </c>
    </row>
    <row r="11" spans="2:8">
      <c r="B11" s="15"/>
      <c r="C11" s="155" t="s">
        <v>9</v>
      </c>
      <c r="D11" s="155"/>
      <c r="E11" s="155"/>
      <c r="F11" s="155"/>
      <c r="G11" s="155"/>
      <c r="H11" s="156"/>
    </row>
    <row r="12" spans="2:8">
      <c r="B12" s="16"/>
      <c r="C12" s="157" t="s">
        <v>10</v>
      </c>
      <c r="D12" s="157"/>
      <c r="E12" s="157"/>
      <c r="F12" s="157"/>
      <c r="G12" s="157"/>
      <c r="H12" s="158"/>
    </row>
    <row r="13" spans="2:8">
      <c r="B13" s="17" t="s">
        <v>11</v>
      </c>
      <c r="C13" s="11" t="s">
        <v>12</v>
      </c>
      <c r="D13" s="29"/>
      <c r="E13" s="29"/>
      <c r="F13" s="30"/>
      <c r="G13" s="30"/>
      <c r="H13" s="30"/>
    </row>
    <row r="14" spans="2:8">
      <c r="B14" s="18" t="s">
        <v>13</v>
      </c>
      <c r="C14" s="1" t="s">
        <v>14</v>
      </c>
      <c r="D14" s="31"/>
      <c r="E14" s="29"/>
      <c r="F14" s="30"/>
      <c r="G14" s="30"/>
      <c r="H14" s="30"/>
    </row>
    <row r="15" spans="2:8">
      <c r="B15" s="18" t="s">
        <v>15</v>
      </c>
      <c r="C15" s="1" t="s">
        <v>16</v>
      </c>
      <c r="D15" s="31"/>
      <c r="E15" s="29"/>
      <c r="F15" s="30"/>
      <c r="G15" s="30"/>
      <c r="H15" s="30"/>
    </row>
    <row r="16" spans="2:8">
      <c r="B16" s="10"/>
      <c r="C16" s="13" t="s">
        <v>17</v>
      </c>
      <c r="D16" s="32"/>
      <c r="E16" s="32"/>
      <c r="F16" s="32"/>
      <c r="G16" s="32"/>
      <c r="H16" s="32"/>
    </row>
    <row r="17" spans="2:13">
      <c r="B17" s="150" t="s">
        <v>18</v>
      </c>
      <c r="C17" s="151"/>
      <c r="D17" s="151"/>
      <c r="E17" s="151"/>
      <c r="F17" s="151"/>
      <c r="G17" s="151"/>
      <c r="H17" s="152"/>
    </row>
    <row r="18" spans="2:13">
      <c r="B18" s="135" t="s">
        <v>19</v>
      </c>
      <c r="C18" s="136"/>
      <c r="D18" s="136"/>
      <c r="E18" s="136"/>
      <c r="F18" s="136"/>
      <c r="G18" s="136"/>
      <c r="H18" s="137"/>
    </row>
    <row r="19" spans="2:13" ht="25.5">
      <c r="B19" s="17"/>
      <c r="C19" s="11" t="s">
        <v>20</v>
      </c>
      <c r="D19" s="29"/>
      <c r="E19" s="29"/>
      <c r="F19" s="30"/>
      <c r="G19" s="30"/>
      <c r="H19" s="30"/>
      <c r="K19" s="106"/>
      <c r="L19" s="106"/>
      <c r="M19" s="106"/>
    </row>
    <row r="20" spans="2:13">
      <c r="B20" s="10"/>
      <c r="C20" s="13" t="s">
        <v>21</v>
      </c>
      <c r="D20" s="32"/>
      <c r="E20" s="32"/>
      <c r="F20" s="32"/>
      <c r="G20" s="32"/>
      <c r="H20" s="32"/>
      <c r="K20" s="106"/>
      <c r="L20" s="106"/>
      <c r="M20" s="106"/>
    </row>
    <row r="21" spans="2:13">
      <c r="B21" s="150" t="s">
        <v>22</v>
      </c>
      <c r="C21" s="151"/>
      <c r="D21" s="151"/>
      <c r="E21" s="151"/>
      <c r="F21" s="151"/>
      <c r="G21" s="151"/>
      <c r="H21" s="152"/>
      <c r="K21" s="106"/>
      <c r="L21" s="106"/>
      <c r="M21" s="106"/>
    </row>
    <row r="22" spans="2:13">
      <c r="B22" s="135" t="s">
        <v>23</v>
      </c>
      <c r="C22" s="136"/>
      <c r="D22" s="136"/>
      <c r="E22" s="136"/>
      <c r="F22" s="136"/>
      <c r="G22" s="136"/>
      <c r="H22" s="137"/>
      <c r="K22" s="106"/>
      <c r="L22" s="106"/>
      <c r="M22" s="106"/>
    </row>
    <row r="23" spans="2:13">
      <c r="B23" s="17" t="s">
        <v>24</v>
      </c>
      <c r="C23" s="11" t="s">
        <v>25</v>
      </c>
      <c r="D23" s="57">
        <f>E23*G6</f>
        <v>3.1090899999999997</v>
      </c>
      <c r="E23" s="57">
        <f>0.38032*2-0.06</f>
        <v>0.70063999999999993</v>
      </c>
      <c r="F23" s="55">
        <f>D23*0.24</f>
        <v>0.74618159999999989</v>
      </c>
      <c r="G23" s="55">
        <f>F23+D23</f>
        <v>3.8552715999999996</v>
      </c>
      <c r="H23" s="55">
        <f>G23/$G$6</f>
        <v>0.86879359999999994</v>
      </c>
      <c r="K23" s="106"/>
      <c r="L23" s="106"/>
      <c r="M23" s="106"/>
    </row>
    <row r="24" spans="2:13">
      <c r="B24" s="40" t="s">
        <v>62</v>
      </c>
      <c r="C24" s="56" t="s">
        <v>26</v>
      </c>
      <c r="D24" s="117">
        <f>E24*G6</f>
        <v>32.342940624999997</v>
      </c>
      <c r="E24" s="117">
        <v>7.2885499999999999</v>
      </c>
      <c r="F24" s="55">
        <f>D24*0.24</f>
        <v>7.7623057499999994</v>
      </c>
      <c r="G24" s="55">
        <f>F24+D24</f>
        <v>40.105246374999993</v>
      </c>
      <c r="H24" s="55">
        <f>G24/$G$6</f>
        <v>9.0378019999999992</v>
      </c>
      <c r="K24" s="106"/>
      <c r="L24" s="106"/>
      <c r="M24" s="106"/>
    </row>
    <row r="25" spans="2:13">
      <c r="B25" s="10"/>
      <c r="C25" s="13" t="s">
        <v>27</v>
      </c>
      <c r="D25" s="48">
        <f>SUM(D23:D24)</f>
        <v>35.452030624999999</v>
      </c>
      <c r="E25" s="48">
        <f>SUM(E23:E24)</f>
        <v>7.9891899999999998</v>
      </c>
      <c r="F25" s="48">
        <f>SUM(F23:F24)</f>
        <v>8.5084873499999993</v>
      </c>
      <c r="G25" s="48">
        <f>SUM(G23:G24)</f>
        <v>43.960517974999995</v>
      </c>
      <c r="H25" s="48">
        <f>SUM(H23:H24)</f>
        <v>9.9065955999999993</v>
      </c>
      <c r="K25" s="106"/>
      <c r="L25" s="106"/>
      <c r="M25" s="106"/>
    </row>
    <row r="26" spans="2:13">
      <c r="B26" s="150" t="s">
        <v>28</v>
      </c>
      <c r="C26" s="151"/>
      <c r="D26" s="151"/>
      <c r="E26" s="151"/>
      <c r="F26" s="151"/>
      <c r="G26" s="151"/>
      <c r="H26" s="152"/>
      <c r="K26" s="106"/>
      <c r="L26" s="106"/>
      <c r="M26" s="106"/>
    </row>
    <row r="27" spans="2:13">
      <c r="B27" s="135" t="s">
        <v>29</v>
      </c>
      <c r="C27" s="136"/>
      <c r="D27" s="136"/>
      <c r="E27" s="136"/>
      <c r="F27" s="136"/>
      <c r="G27" s="136"/>
      <c r="H27" s="137"/>
      <c r="K27" s="106"/>
      <c r="L27" s="106"/>
      <c r="M27" s="106"/>
    </row>
    <row r="28" spans="2:13">
      <c r="B28" s="41">
        <v>4</v>
      </c>
      <c r="C28" s="42" t="s">
        <v>30</v>
      </c>
      <c r="D28" s="42"/>
      <c r="E28" s="42"/>
      <c r="F28" s="42"/>
      <c r="G28" s="42"/>
      <c r="H28" s="43"/>
      <c r="K28" s="106"/>
      <c r="L28" s="106"/>
      <c r="M28" s="106"/>
    </row>
    <row r="29" spans="2:13" ht="25.5">
      <c r="B29" s="17">
        <v>4.0999999999999996</v>
      </c>
      <c r="C29" s="11" t="s">
        <v>31</v>
      </c>
      <c r="D29" s="54">
        <f>E29*G6</f>
        <v>940.2297031249999</v>
      </c>
      <c r="E29" s="54">
        <v>211.88274999999999</v>
      </c>
      <c r="F29" s="55">
        <f>D29*0.24</f>
        <v>225.65512874999996</v>
      </c>
      <c r="G29" s="55">
        <f>F29+D29</f>
        <v>1165.8848318749999</v>
      </c>
      <c r="H29" s="55">
        <f>G29/$G$6</f>
        <v>262.73460999999998</v>
      </c>
      <c r="K29" s="106"/>
      <c r="L29" s="106"/>
      <c r="M29" s="106"/>
    </row>
    <row r="30" spans="2:13">
      <c r="B30" s="18">
        <v>4.2</v>
      </c>
      <c r="C30" s="1" t="s">
        <v>32</v>
      </c>
      <c r="D30" s="54">
        <f>E30*G6</f>
        <v>338.35981874999999</v>
      </c>
      <c r="E30" s="54">
        <v>76.250100000000003</v>
      </c>
      <c r="F30" s="55">
        <f>D30*0.24</f>
        <v>81.206356499999998</v>
      </c>
      <c r="G30" s="55">
        <f>F30+D30</f>
        <v>419.56617525000001</v>
      </c>
      <c r="H30" s="55">
        <f>G30/$G$6</f>
        <v>94.550123999999997</v>
      </c>
      <c r="K30" s="106"/>
      <c r="L30" s="106"/>
      <c r="M30" s="106"/>
    </row>
    <row r="31" spans="2:13">
      <c r="B31" s="18">
        <v>4.3</v>
      </c>
      <c r="C31" s="1" t="s">
        <v>33</v>
      </c>
      <c r="D31" s="54">
        <f>E31*G6</f>
        <v>95.045836250000008</v>
      </c>
      <c r="E31" s="54">
        <v>21.418780000000002</v>
      </c>
      <c r="F31" s="55">
        <f>D31*0.24</f>
        <v>22.811000700000001</v>
      </c>
      <c r="G31" s="55">
        <f>F31+D31</f>
        <v>117.85683695</v>
      </c>
      <c r="H31" s="55">
        <f>G31/$G$6</f>
        <v>26.5592872</v>
      </c>
      <c r="K31" s="106"/>
      <c r="L31" s="106"/>
      <c r="M31" s="106"/>
    </row>
    <row r="32" spans="2:13">
      <c r="B32" s="19"/>
      <c r="C32" s="12" t="s">
        <v>34</v>
      </c>
      <c r="D32" s="54">
        <f>SUM(D29:D31)</f>
        <v>1373.635358125</v>
      </c>
      <c r="E32" s="54">
        <f>SUM(E29:E31)</f>
        <v>309.55162999999999</v>
      </c>
      <c r="F32" s="54">
        <f>SUM(F29:F31)</f>
        <v>329.67248595000001</v>
      </c>
      <c r="G32" s="54">
        <f>SUM(G29:G31)</f>
        <v>1703.307844075</v>
      </c>
      <c r="H32" s="54">
        <f>SUM(H29:H31)</f>
        <v>383.84402119999993</v>
      </c>
      <c r="K32" s="106"/>
      <c r="L32" s="106"/>
      <c r="M32" s="106"/>
    </row>
    <row r="33" spans="2:13">
      <c r="B33" s="144" t="s">
        <v>35</v>
      </c>
      <c r="C33" s="145"/>
      <c r="D33" s="145"/>
      <c r="E33" s="145"/>
      <c r="F33" s="145"/>
      <c r="G33" s="145"/>
      <c r="H33" s="146"/>
      <c r="K33" s="106"/>
      <c r="L33" s="106"/>
      <c r="M33" s="106"/>
    </row>
    <row r="34" spans="2:13">
      <c r="B34" s="147" t="s">
        <v>36</v>
      </c>
      <c r="C34" s="148"/>
      <c r="D34" s="148"/>
      <c r="E34" s="148"/>
      <c r="F34" s="148"/>
      <c r="G34" s="148"/>
      <c r="H34" s="149"/>
      <c r="K34" s="106"/>
      <c r="L34" s="106"/>
      <c r="M34" s="106"/>
    </row>
    <row r="35" spans="2:13">
      <c r="B35" s="21" t="s">
        <v>37</v>
      </c>
      <c r="C35" s="1" t="s">
        <v>38</v>
      </c>
      <c r="D35" s="6"/>
      <c r="E35" s="6"/>
      <c r="F35" s="6"/>
      <c r="G35" s="6"/>
      <c r="H35" s="6"/>
      <c r="K35" s="106"/>
      <c r="L35" s="106"/>
      <c r="M35" s="106"/>
    </row>
    <row r="36" spans="2:13" ht="25.5">
      <c r="B36" s="21" t="s">
        <v>39</v>
      </c>
      <c r="C36" s="1" t="s">
        <v>40</v>
      </c>
      <c r="D36" s="50"/>
      <c r="E36" s="34"/>
      <c r="F36" s="35"/>
      <c r="G36" s="35"/>
      <c r="H36" s="35"/>
      <c r="K36" s="106"/>
      <c r="L36" s="106"/>
      <c r="M36" s="106"/>
    </row>
    <row r="37" spans="2:13">
      <c r="B37" s="20" t="s">
        <v>41</v>
      </c>
      <c r="C37" s="1" t="s">
        <v>42</v>
      </c>
      <c r="D37" s="34"/>
      <c r="E37" s="34"/>
      <c r="F37" s="35"/>
      <c r="G37" s="35"/>
      <c r="H37" s="35"/>
      <c r="K37" s="106"/>
      <c r="L37" s="106"/>
      <c r="M37" s="106"/>
    </row>
    <row r="38" spans="2:13">
      <c r="B38" s="21" t="s">
        <v>43</v>
      </c>
      <c r="C38" s="1" t="s">
        <v>44</v>
      </c>
      <c r="D38" s="34"/>
      <c r="E38" s="34"/>
      <c r="F38" s="35"/>
      <c r="G38" s="35"/>
      <c r="H38" s="35"/>
      <c r="K38" s="106"/>
      <c r="L38" s="106"/>
      <c r="M38" s="106"/>
    </row>
    <row r="39" spans="2:13">
      <c r="B39" s="20" t="s">
        <v>45</v>
      </c>
      <c r="C39" s="1" t="s">
        <v>46</v>
      </c>
      <c r="D39" s="34"/>
      <c r="E39" s="34"/>
      <c r="F39" s="35"/>
      <c r="G39" s="35"/>
      <c r="H39" s="35"/>
    </row>
    <row r="40" spans="2:13">
      <c r="B40" s="20" t="s">
        <v>47</v>
      </c>
      <c r="C40" s="1" t="s">
        <v>48</v>
      </c>
      <c r="D40" s="34"/>
      <c r="E40" s="34"/>
      <c r="F40" s="35"/>
      <c r="G40" s="35"/>
      <c r="H40" s="35"/>
    </row>
    <row r="41" spans="2:13">
      <c r="B41" s="23"/>
      <c r="C41" s="24" t="s">
        <v>49</v>
      </c>
      <c r="D41" s="33"/>
      <c r="E41" s="33"/>
      <c r="F41" s="33"/>
      <c r="G41" s="33"/>
      <c r="H41" s="33"/>
    </row>
    <row r="42" spans="2:13">
      <c r="B42" s="150" t="s">
        <v>50</v>
      </c>
      <c r="C42" s="151"/>
      <c r="D42" s="151"/>
      <c r="E42" s="151"/>
      <c r="F42" s="151"/>
      <c r="G42" s="151"/>
      <c r="H42" s="152"/>
    </row>
    <row r="43" spans="2:13">
      <c r="B43" s="135" t="s">
        <v>51</v>
      </c>
      <c r="C43" s="136"/>
      <c r="D43" s="136"/>
      <c r="E43" s="136"/>
      <c r="F43" s="136"/>
      <c r="G43" s="136"/>
      <c r="H43" s="137"/>
    </row>
    <row r="44" spans="2:13">
      <c r="B44" s="17">
        <v>6.1</v>
      </c>
      <c r="C44" s="11" t="s">
        <v>52</v>
      </c>
      <c r="D44" s="34"/>
      <c r="E44" s="34"/>
      <c r="F44" s="35"/>
      <c r="G44" s="35"/>
      <c r="H44" s="35"/>
    </row>
    <row r="45" spans="2:13">
      <c r="B45" s="18">
        <v>6.2</v>
      </c>
      <c r="C45" s="1" t="s">
        <v>53</v>
      </c>
      <c r="D45" s="34"/>
      <c r="E45" s="34"/>
      <c r="F45" s="35"/>
      <c r="G45" s="35"/>
      <c r="H45" s="35"/>
    </row>
    <row r="46" spans="2:13">
      <c r="B46" s="10"/>
      <c r="C46" s="22" t="s">
        <v>54</v>
      </c>
      <c r="D46" s="36"/>
      <c r="E46" s="36"/>
      <c r="F46" s="36"/>
      <c r="G46" s="36"/>
      <c r="H46" s="36"/>
    </row>
    <row r="47" spans="2:13" ht="15">
      <c r="B47" s="47"/>
      <c r="C47" s="46" t="s">
        <v>55</v>
      </c>
      <c r="D47" s="49">
        <f>D46+D41+D32+D25+D20+D16</f>
        <v>1409.0873887499999</v>
      </c>
      <c r="E47" s="49">
        <f>E16+E20+E25+E32+E41</f>
        <v>317.54082</v>
      </c>
      <c r="F47" s="49">
        <f>F16+F20+F25+F32+F41</f>
        <v>338.18097330000001</v>
      </c>
      <c r="G47" s="49">
        <f>G16+G20+G25+G32+G41</f>
        <v>1747.26836205</v>
      </c>
      <c r="H47" s="49">
        <f>H16+H20+H25+H32+H41</f>
        <v>393.75061679999993</v>
      </c>
    </row>
    <row r="48" spans="2:13" ht="15">
      <c r="B48" s="47"/>
      <c r="C48" s="46" t="s">
        <v>56</v>
      </c>
      <c r="D48" s="49">
        <f>D14+D15+D20+D30+D31+D29+D36</f>
        <v>1373.635358125</v>
      </c>
      <c r="E48" s="49">
        <f>E14+E15+E20+E29+E30+E31+E36</f>
        <v>309.55162999999999</v>
      </c>
      <c r="F48" s="49">
        <f>F14+F15+F20+F29+F30+F31+F36</f>
        <v>329.67248595000001</v>
      </c>
      <c r="G48" s="49">
        <f>G14+G15+G20+G29+G30+G31+G36</f>
        <v>1703.307844075</v>
      </c>
      <c r="H48" s="49">
        <f>H14+H15+H20+H29+H30+H31+H36</f>
        <v>383.84402119999993</v>
      </c>
    </row>
  </sheetData>
  <mergeCells count="19">
    <mergeCell ref="C1:G3"/>
    <mergeCell ref="D8:E9"/>
    <mergeCell ref="G8:H9"/>
    <mergeCell ref="B22:H22"/>
    <mergeCell ref="B4:F4"/>
    <mergeCell ref="C11:H11"/>
    <mergeCell ref="C12:H12"/>
    <mergeCell ref="B17:H17"/>
    <mergeCell ref="B18:H18"/>
    <mergeCell ref="B21:H21"/>
    <mergeCell ref="B43:H43"/>
    <mergeCell ref="B8:B10"/>
    <mergeCell ref="C8:C10"/>
    <mergeCell ref="F8:F9"/>
    <mergeCell ref="B27:H27"/>
    <mergeCell ref="B33:H33"/>
    <mergeCell ref="B34:H34"/>
    <mergeCell ref="B42:H42"/>
    <mergeCell ref="B26:H26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A34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8.425781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82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6.3418975</v>
      </c>
      <c r="E23" s="118">
        <f>2*0.71458</f>
        <v>1.42916</v>
      </c>
      <c r="F23" s="119">
        <f>D23*0.24</f>
        <v>1.5220553999999999</v>
      </c>
      <c r="G23" s="119">
        <f>F23+D23</f>
        <v>7.8639529000000001</v>
      </c>
      <c r="H23" s="119">
        <f>G23/$G$6</f>
        <v>1.7721584000000001</v>
      </c>
    </row>
    <row r="24" spans="2:8">
      <c r="B24" s="79">
        <v>3.2</v>
      </c>
      <c r="C24" s="80" t="s">
        <v>66</v>
      </c>
      <c r="D24" s="120">
        <f>E24*G6</f>
        <v>65.953497499999997</v>
      </c>
      <c r="E24" s="120">
        <v>14.86276</v>
      </c>
      <c r="F24" s="119">
        <f>D24*0.24</f>
        <v>15.8288394</v>
      </c>
      <c r="G24" s="119">
        <f>F24+D24</f>
        <v>81.78233689999999</v>
      </c>
      <c r="H24" s="119">
        <f>G24/$G$6</f>
        <v>18.429822399999999</v>
      </c>
    </row>
    <row r="25" spans="2:8">
      <c r="B25" s="76"/>
      <c r="C25" s="77" t="s">
        <v>27</v>
      </c>
      <c r="D25" s="81">
        <f>SUM(D23:D24)</f>
        <v>72.295394999999999</v>
      </c>
      <c r="E25" s="81">
        <f>SUM(E23:E24)</f>
        <v>16.291920000000001</v>
      </c>
      <c r="F25" s="81">
        <f>SUM(F23:F23)</f>
        <v>1.5220553999999999</v>
      </c>
      <c r="G25" s="81">
        <f>SUM(G23:G23)</f>
        <v>7.8639529000000001</v>
      </c>
      <c r="H25" s="81">
        <f>SUM(H23:H23)</f>
        <v>1.7721584000000001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971.08279749999997</v>
      </c>
      <c r="E29" s="105">
        <v>218.83555999999999</v>
      </c>
      <c r="F29" s="119">
        <f>D29*0.24</f>
        <v>233.05987139999999</v>
      </c>
      <c r="G29" s="119">
        <f>F29+D29</f>
        <v>1204.1426689</v>
      </c>
      <c r="H29" s="119">
        <f>G29/$G$6</f>
        <v>271.35609440000002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0</v>
      </c>
      <c r="E31" s="105">
        <v>0</v>
      </c>
      <c r="F31" s="119">
        <f>D31*0.24</f>
        <v>0</v>
      </c>
      <c r="G31" s="119">
        <f>F31+D31</f>
        <v>0</v>
      </c>
      <c r="H31" s="119">
        <f>G31/$G$6</f>
        <v>0</v>
      </c>
    </row>
    <row r="32" spans="2:8">
      <c r="B32" s="85"/>
      <c r="C32" s="86" t="s">
        <v>34</v>
      </c>
      <c r="D32" s="105">
        <f>SUM(D29:D31)</f>
        <v>971.08279749999997</v>
      </c>
      <c r="E32" s="105">
        <f>SUM(E29:E31)</f>
        <v>218.83555999999999</v>
      </c>
      <c r="F32" s="105">
        <f>SUM(F29:F31)</f>
        <v>233.05987139999999</v>
      </c>
      <c r="G32" s="105">
        <f>SUM(G29:G31)</f>
        <v>1204.1426689</v>
      </c>
      <c r="H32" s="105">
        <f>SUM(H29:H31)</f>
        <v>271.35609440000002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1043.3781925000001</v>
      </c>
      <c r="E47" s="103">
        <f>E16+E20+E25+E32+E41</f>
        <v>235.12747999999999</v>
      </c>
      <c r="F47" s="103">
        <f>F16+F20+F25+F32+F41</f>
        <v>234.58192679999999</v>
      </c>
      <c r="G47" s="103">
        <f>G16+G20+G25+G32+G41</f>
        <v>1212.0066217999999</v>
      </c>
      <c r="H47" s="103">
        <f>H16+H20+H25+H32+H41</f>
        <v>273.12825280000004</v>
      </c>
    </row>
    <row r="48" spans="2:8" ht="15">
      <c r="B48" s="101"/>
      <c r="C48" s="102" t="s">
        <v>56</v>
      </c>
      <c r="D48" s="103">
        <f>D14+D15+D20+D30+D31+D29+D36</f>
        <v>971.08279749999997</v>
      </c>
      <c r="E48" s="103">
        <f>E14+E15+E20+E29+E30+E31+E36</f>
        <v>218.83555999999999</v>
      </c>
      <c r="F48" s="103">
        <f>F14+F15+F20+F29+F30+F31+F36</f>
        <v>233.05987139999999</v>
      </c>
      <c r="G48" s="103">
        <f>G14+G15+G20+G29+G30+G31+G36</f>
        <v>1204.1426689</v>
      </c>
      <c r="H48" s="103">
        <f>H14+H15+H20+H29+H30+H31+H36</f>
        <v>271.35609440000002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B1:H48"/>
  <sheetViews>
    <sheetView view="pageBreakPreview" topLeftCell="A31" zoomScaleSheetLayoutView="100" workbookViewId="0">
      <selection activeCell="C36" sqref="C36"/>
    </sheetView>
  </sheetViews>
  <sheetFormatPr defaultRowHeight="12.75"/>
  <cols>
    <col min="1" max="1" width="4.28515625" style="60" customWidth="1"/>
    <col min="2" max="2" width="5.42578125" style="60" customWidth="1"/>
    <col min="3" max="3" width="40.28515625" style="60" bestFit="1" customWidth="1"/>
    <col min="4" max="4" width="9.85546875" style="60" customWidth="1"/>
    <col min="5" max="5" width="8.42578125" style="60" bestFit="1" customWidth="1"/>
    <col min="6" max="6" width="8.5703125" style="60" customWidth="1"/>
    <col min="7" max="7" width="10.140625" style="60" bestFit="1" customWidth="1"/>
    <col min="8" max="8" width="8.5703125" style="60" customWidth="1"/>
    <col min="9" max="11" width="9.140625" style="60"/>
    <col min="12" max="12" width="12.85546875" style="60" bestFit="1" customWidth="1"/>
    <col min="13" max="13" width="11.7109375" style="60" bestFit="1" customWidth="1"/>
    <col min="14" max="16384" width="9.140625" style="60"/>
  </cols>
  <sheetData>
    <row r="1" spans="2:8">
      <c r="B1" s="58"/>
      <c r="C1" s="174" t="s">
        <v>83</v>
      </c>
      <c r="D1" s="174"/>
      <c r="E1" s="174"/>
      <c r="F1" s="174"/>
      <c r="G1" s="174"/>
      <c r="H1" s="59"/>
    </row>
    <row r="2" spans="2:8">
      <c r="B2" s="58"/>
      <c r="C2" s="174"/>
      <c r="D2" s="174"/>
      <c r="E2" s="174"/>
      <c r="F2" s="174"/>
      <c r="G2" s="174"/>
      <c r="H2" s="59"/>
    </row>
    <row r="3" spans="2:8" ht="39.950000000000003" customHeight="1">
      <c r="B3" s="58"/>
      <c r="C3" s="175"/>
      <c r="D3" s="175"/>
      <c r="E3" s="175"/>
      <c r="F3" s="175"/>
      <c r="G3" s="175"/>
      <c r="H3" s="59"/>
    </row>
    <row r="4" spans="2:8">
      <c r="B4" s="176"/>
      <c r="C4" s="177"/>
      <c r="D4" s="177"/>
      <c r="E4" s="177"/>
      <c r="F4" s="177"/>
      <c r="G4" s="59"/>
      <c r="H4" s="59"/>
    </row>
    <row r="5" spans="2:8" ht="13.5" thickBot="1">
      <c r="B5" s="58"/>
      <c r="D5" s="59"/>
      <c r="E5" s="59"/>
      <c r="F5" s="61"/>
      <c r="G5" s="62"/>
      <c r="H5" s="59"/>
    </row>
    <row r="6" spans="2:8" ht="26.25" thickBot="1">
      <c r="B6" s="58"/>
      <c r="D6" s="59"/>
      <c r="E6" s="59"/>
      <c r="F6" s="63" t="s">
        <v>1</v>
      </c>
      <c r="G6" s="64">
        <v>4.4375</v>
      </c>
      <c r="H6" s="59"/>
    </row>
    <row r="7" spans="2:8">
      <c r="B7" s="58"/>
      <c r="D7" s="59"/>
      <c r="E7" s="59"/>
      <c r="F7" s="65"/>
      <c r="G7" s="59"/>
      <c r="H7" s="59"/>
    </row>
    <row r="8" spans="2:8">
      <c r="B8" s="178" t="s">
        <v>2</v>
      </c>
      <c r="C8" s="180" t="s">
        <v>3</v>
      </c>
      <c r="D8" s="182" t="s">
        <v>4</v>
      </c>
      <c r="E8" s="183"/>
      <c r="F8" s="186" t="s">
        <v>5</v>
      </c>
      <c r="G8" s="182" t="s">
        <v>6</v>
      </c>
      <c r="H8" s="188"/>
    </row>
    <row r="9" spans="2:8">
      <c r="B9" s="179"/>
      <c r="C9" s="181"/>
      <c r="D9" s="184"/>
      <c r="E9" s="185"/>
      <c r="F9" s="187"/>
      <c r="G9" s="189"/>
      <c r="H9" s="190"/>
    </row>
    <row r="10" spans="2:8">
      <c r="B10" s="179"/>
      <c r="C10" s="181"/>
      <c r="D10" s="66" t="s">
        <v>7</v>
      </c>
      <c r="E10" s="66" t="s">
        <v>8</v>
      </c>
      <c r="F10" s="66" t="s">
        <v>7</v>
      </c>
      <c r="G10" s="66" t="s">
        <v>7</v>
      </c>
      <c r="H10" s="66" t="s">
        <v>8</v>
      </c>
    </row>
    <row r="11" spans="2:8">
      <c r="B11" s="67"/>
      <c r="C11" s="194" t="s">
        <v>9</v>
      </c>
      <c r="D11" s="194"/>
      <c r="E11" s="194"/>
      <c r="F11" s="194"/>
      <c r="G11" s="194"/>
      <c r="H11" s="195"/>
    </row>
    <row r="12" spans="2:8">
      <c r="B12" s="68"/>
      <c r="C12" s="196" t="s">
        <v>10</v>
      </c>
      <c r="D12" s="196"/>
      <c r="E12" s="196"/>
      <c r="F12" s="196"/>
      <c r="G12" s="196"/>
      <c r="H12" s="197"/>
    </row>
    <row r="13" spans="2:8">
      <c r="B13" s="69" t="s">
        <v>11</v>
      </c>
      <c r="C13" s="70" t="s">
        <v>12</v>
      </c>
      <c r="D13" s="71"/>
      <c r="E13" s="71"/>
      <c r="F13" s="72"/>
      <c r="G13" s="72"/>
      <c r="H13" s="72"/>
    </row>
    <row r="14" spans="2:8">
      <c r="B14" s="73" t="s">
        <v>13</v>
      </c>
      <c r="C14" s="74" t="s">
        <v>14</v>
      </c>
      <c r="D14" s="75"/>
      <c r="E14" s="71"/>
      <c r="F14" s="72"/>
      <c r="G14" s="72"/>
      <c r="H14" s="72"/>
    </row>
    <row r="15" spans="2:8">
      <c r="B15" s="73" t="s">
        <v>15</v>
      </c>
      <c r="C15" s="74" t="s">
        <v>16</v>
      </c>
      <c r="D15" s="75"/>
      <c r="E15" s="71"/>
      <c r="F15" s="72"/>
      <c r="G15" s="72"/>
      <c r="H15" s="72"/>
    </row>
    <row r="16" spans="2:8">
      <c r="B16" s="76"/>
      <c r="C16" s="77" t="s">
        <v>17</v>
      </c>
      <c r="D16" s="78"/>
      <c r="E16" s="78"/>
      <c r="F16" s="78"/>
      <c r="G16" s="78"/>
      <c r="H16" s="78"/>
    </row>
    <row r="17" spans="2:8">
      <c r="B17" s="171" t="s">
        <v>18</v>
      </c>
      <c r="C17" s="172"/>
      <c r="D17" s="172"/>
      <c r="E17" s="172"/>
      <c r="F17" s="172"/>
      <c r="G17" s="172"/>
      <c r="H17" s="173"/>
    </row>
    <row r="18" spans="2:8">
      <c r="B18" s="191" t="s">
        <v>19</v>
      </c>
      <c r="C18" s="192"/>
      <c r="D18" s="192"/>
      <c r="E18" s="192"/>
      <c r="F18" s="192"/>
      <c r="G18" s="192"/>
      <c r="H18" s="193"/>
    </row>
    <row r="19" spans="2:8" ht="25.5">
      <c r="B19" s="69"/>
      <c r="C19" s="70" t="s">
        <v>20</v>
      </c>
      <c r="D19" s="71"/>
      <c r="E19" s="71"/>
      <c r="F19" s="72"/>
      <c r="G19" s="72"/>
      <c r="H19" s="72"/>
    </row>
    <row r="20" spans="2:8">
      <c r="B20" s="76"/>
      <c r="C20" s="77" t="s">
        <v>21</v>
      </c>
      <c r="D20" s="78"/>
      <c r="E20" s="78"/>
      <c r="F20" s="78"/>
      <c r="G20" s="78"/>
      <c r="H20" s="78"/>
    </row>
    <row r="21" spans="2:8">
      <c r="B21" s="171" t="s">
        <v>22</v>
      </c>
      <c r="C21" s="172"/>
      <c r="D21" s="172"/>
      <c r="E21" s="172"/>
      <c r="F21" s="172"/>
      <c r="G21" s="172"/>
      <c r="H21" s="173"/>
    </row>
    <row r="22" spans="2:8">
      <c r="B22" s="191" t="s">
        <v>23</v>
      </c>
      <c r="C22" s="192"/>
      <c r="D22" s="192"/>
      <c r="E22" s="192"/>
      <c r="F22" s="192"/>
      <c r="G22" s="192"/>
      <c r="H22" s="193"/>
    </row>
    <row r="23" spans="2:8">
      <c r="B23" s="69" t="s">
        <v>24</v>
      </c>
      <c r="C23" s="70" t="s">
        <v>25</v>
      </c>
      <c r="D23" s="118">
        <f>E23*G6</f>
        <v>0.86691000000000007</v>
      </c>
      <c r="E23" s="118">
        <f>2*0.09768</f>
        <v>0.19536000000000001</v>
      </c>
      <c r="F23" s="119">
        <f>D23*0.24</f>
        <v>0.2080584</v>
      </c>
      <c r="G23" s="119">
        <f>F23+D23</f>
        <v>1.0749684000000002</v>
      </c>
      <c r="H23" s="119">
        <f>G23/$G$6</f>
        <v>0.24224640000000003</v>
      </c>
    </row>
    <row r="24" spans="2:8">
      <c r="B24" s="79">
        <v>3.2</v>
      </c>
      <c r="C24" s="80" t="s">
        <v>66</v>
      </c>
      <c r="D24" s="120">
        <f>E24*G6</f>
        <v>10.122070624999999</v>
      </c>
      <c r="E24" s="120">
        <v>2.2810299999999999</v>
      </c>
      <c r="F24" s="119">
        <f>D24*0.24</f>
        <v>2.4292969499999999</v>
      </c>
      <c r="G24" s="119">
        <f>F24+D24</f>
        <v>12.551367574999999</v>
      </c>
      <c r="H24" s="119">
        <f>G24/$G$6</f>
        <v>2.8284771999999996</v>
      </c>
    </row>
    <row r="25" spans="2:8">
      <c r="B25" s="76"/>
      <c r="C25" s="77" t="s">
        <v>27</v>
      </c>
      <c r="D25" s="81">
        <f>SUM(D23:D24)</f>
        <v>10.988980625</v>
      </c>
      <c r="E25" s="81">
        <f>SUM(E23:E24)</f>
        <v>2.4763899999999999</v>
      </c>
      <c r="F25" s="81">
        <f>SUM(F23:F23)</f>
        <v>0.2080584</v>
      </c>
      <c r="G25" s="81">
        <f>SUM(G23:G23)</f>
        <v>1.0749684000000002</v>
      </c>
      <c r="H25" s="81">
        <f>SUM(H23:H23)</f>
        <v>0.24224640000000003</v>
      </c>
    </row>
    <row r="26" spans="2:8">
      <c r="B26" s="171" t="s">
        <v>28</v>
      </c>
      <c r="C26" s="172"/>
      <c r="D26" s="172"/>
      <c r="E26" s="172"/>
      <c r="F26" s="172"/>
      <c r="G26" s="172"/>
      <c r="H26" s="173"/>
    </row>
    <row r="27" spans="2:8">
      <c r="B27" s="191" t="s">
        <v>29</v>
      </c>
      <c r="C27" s="192"/>
      <c r="D27" s="192"/>
      <c r="E27" s="192"/>
      <c r="F27" s="192"/>
      <c r="G27" s="192"/>
      <c r="H27" s="193"/>
    </row>
    <row r="28" spans="2:8">
      <c r="B28" s="82">
        <v>4</v>
      </c>
      <c r="C28" s="83" t="s">
        <v>30</v>
      </c>
      <c r="D28" s="83"/>
      <c r="E28" s="83"/>
      <c r="F28" s="83"/>
      <c r="G28" s="83"/>
      <c r="H28" s="84"/>
    </row>
    <row r="29" spans="2:8">
      <c r="B29" s="69">
        <v>4.0999999999999996</v>
      </c>
      <c r="C29" s="104" t="s">
        <v>31</v>
      </c>
      <c r="D29" s="105">
        <f>E29*G6</f>
        <v>0</v>
      </c>
      <c r="E29" s="105">
        <v>0</v>
      </c>
      <c r="F29" s="119">
        <f>D29*0.24</f>
        <v>0</v>
      </c>
      <c r="G29" s="119">
        <f>F29+D29</f>
        <v>0</v>
      </c>
      <c r="H29" s="119">
        <f>G29/$G$6</f>
        <v>0</v>
      </c>
    </row>
    <row r="30" spans="2:8">
      <c r="B30" s="73">
        <v>4.2</v>
      </c>
      <c r="C30" s="74" t="s">
        <v>32</v>
      </c>
      <c r="D30" s="105">
        <f>E30*G6</f>
        <v>0</v>
      </c>
      <c r="E30" s="105">
        <v>0</v>
      </c>
      <c r="F30" s="119">
        <f>D30*0.24</f>
        <v>0</v>
      </c>
      <c r="G30" s="119">
        <f>F30+D30</f>
        <v>0</v>
      </c>
      <c r="H30" s="119">
        <f>G30/$G$6</f>
        <v>0</v>
      </c>
    </row>
    <row r="31" spans="2:8">
      <c r="B31" s="73">
        <v>4.3</v>
      </c>
      <c r="C31" s="74" t="s">
        <v>33</v>
      </c>
      <c r="D31" s="105">
        <f>E31*G6</f>
        <v>448.54964437500001</v>
      </c>
      <c r="E31" s="105">
        <v>101.08161</v>
      </c>
      <c r="F31" s="119">
        <f>D31*0.24</f>
        <v>107.65191464999999</v>
      </c>
      <c r="G31" s="119">
        <f>F31+D31</f>
        <v>556.20155902500005</v>
      </c>
      <c r="H31" s="119">
        <f>G31/$G$6</f>
        <v>125.34119640000002</v>
      </c>
    </row>
    <row r="32" spans="2:8">
      <c r="B32" s="85"/>
      <c r="C32" s="86" t="s">
        <v>34</v>
      </c>
      <c r="D32" s="105">
        <f>SUM(D29:D31)</f>
        <v>448.54964437500001</v>
      </c>
      <c r="E32" s="105">
        <f>SUM(E29:E31)</f>
        <v>101.08161</v>
      </c>
      <c r="F32" s="105">
        <f>SUM(F29:F31)</f>
        <v>107.65191464999999</v>
      </c>
      <c r="G32" s="105">
        <f>SUM(G29:G31)</f>
        <v>556.20155902500005</v>
      </c>
      <c r="H32" s="105">
        <f>SUM(H29:H31)</f>
        <v>125.34119640000002</v>
      </c>
    </row>
    <row r="33" spans="2:8">
      <c r="B33" s="198" t="s">
        <v>35</v>
      </c>
      <c r="C33" s="199"/>
      <c r="D33" s="199"/>
      <c r="E33" s="199"/>
      <c r="F33" s="199"/>
      <c r="G33" s="199"/>
      <c r="H33" s="200"/>
    </row>
    <row r="34" spans="2:8">
      <c r="B34" s="168" t="s">
        <v>36</v>
      </c>
      <c r="C34" s="169"/>
      <c r="D34" s="169"/>
      <c r="E34" s="169"/>
      <c r="F34" s="169"/>
      <c r="G34" s="169"/>
      <c r="H34" s="170"/>
    </row>
    <row r="35" spans="2:8">
      <c r="B35" s="87" t="s">
        <v>37</v>
      </c>
      <c r="C35" s="74" t="s">
        <v>38</v>
      </c>
      <c r="D35" s="88"/>
      <c r="E35" s="88"/>
      <c r="F35" s="88"/>
      <c r="G35" s="88"/>
      <c r="H35" s="88"/>
    </row>
    <row r="36" spans="2:8">
      <c r="B36" s="89" t="s">
        <v>39</v>
      </c>
      <c r="C36" s="90" t="s">
        <v>40</v>
      </c>
      <c r="D36" s="91"/>
      <c r="E36" s="92"/>
      <c r="F36" s="93"/>
      <c r="G36" s="93"/>
      <c r="H36" s="93"/>
    </row>
    <row r="37" spans="2:8">
      <c r="B37" s="94" t="s">
        <v>41</v>
      </c>
      <c r="C37" s="90" t="s">
        <v>42</v>
      </c>
      <c r="D37" s="92"/>
      <c r="E37" s="92"/>
      <c r="F37" s="93"/>
      <c r="G37" s="93"/>
      <c r="H37" s="93"/>
    </row>
    <row r="38" spans="2:8">
      <c r="B38" s="89" t="s">
        <v>43</v>
      </c>
      <c r="C38" s="90" t="s">
        <v>44</v>
      </c>
      <c r="D38" s="92"/>
      <c r="E38" s="92"/>
      <c r="F38" s="93"/>
      <c r="G38" s="93"/>
      <c r="H38" s="93"/>
    </row>
    <row r="39" spans="2:8">
      <c r="B39" s="94" t="s">
        <v>45</v>
      </c>
      <c r="C39" s="90" t="s">
        <v>46</v>
      </c>
      <c r="D39" s="92"/>
      <c r="E39" s="92"/>
      <c r="F39" s="93"/>
      <c r="G39" s="93"/>
      <c r="H39" s="93"/>
    </row>
    <row r="40" spans="2:8">
      <c r="B40" s="95" t="s">
        <v>47</v>
      </c>
      <c r="C40" s="74" t="s">
        <v>48</v>
      </c>
      <c r="D40" s="92"/>
      <c r="E40" s="92"/>
      <c r="F40" s="93"/>
      <c r="G40" s="93"/>
      <c r="H40" s="93"/>
    </row>
    <row r="41" spans="2:8">
      <c r="B41" s="96"/>
      <c r="C41" s="97" t="s">
        <v>49</v>
      </c>
      <c r="D41" s="98"/>
      <c r="E41" s="98"/>
      <c r="F41" s="98"/>
      <c r="G41" s="98"/>
      <c r="H41" s="98"/>
    </row>
    <row r="42" spans="2:8">
      <c r="B42" s="171" t="s">
        <v>50</v>
      </c>
      <c r="C42" s="172"/>
      <c r="D42" s="172"/>
      <c r="E42" s="172"/>
      <c r="F42" s="172"/>
      <c r="G42" s="172"/>
      <c r="H42" s="173"/>
    </row>
    <row r="43" spans="2:8">
      <c r="B43" s="191" t="s">
        <v>51</v>
      </c>
      <c r="C43" s="192"/>
      <c r="D43" s="192"/>
      <c r="E43" s="192"/>
      <c r="F43" s="192"/>
      <c r="G43" s="192"/>
      <c r="H43" s="193"/>
    </row>
    <row r="44" spans="2:8">
      <c r="B44" s="69">
        <v>6.1</v>
      </c>
      <c r="C44" s="70" t="s">
        <v>52</v>
      </c>
      <c r="D44" s="92"/>
      <c r="E44" s="92"/>
      <c r="F44" s="93"/>
      <c r="G44" s="93"/>
      <c r="H44" s="93"/>
    </row>
    <row r="45" spans="2:8">
      <c r="B45" s="73">
        <v>6.2</v>
      </c>
      <c r="C45" s="74" t="s">
        <v>53</v>
      </c>
      <c r="D45" s="92"/>
      <c r="E45" s="92"/>
      <c r="F45" s="93"/>
      <c r="G45" s="93"/>
      <c r="H45" s="93"/>
    </row>
    <row r="46" spans="2:8">
      <c r="B46" s="76"/>
      <c r="C46" s="99" t="s">
        <v>54</v>
      </c>
      <c r="D46" s="100"/>
      <c r="E46" s="100"/>
      <c r="F46" s="100"/>
      <c r="G46" s="100"/>
      <c r="H46" s="100"/>
    </row>
    <row r="47" spans="2:8" ht="15">
      <c r="B47" s="101"/>
      <c r="C47" s="102" t="s">
        <v>55</v>
      </c>
      <c r="D47" s="103">
        <f>D46+D41+D32+D25+D20+D16</f>
        <v>459.53862500000002</v>
      </c>
      <c r="E47" s="103">
        <f>E16+E20+E25+E32+E41</f>
        <v>103.55799999999999</v>
      </c>
      <c r="F47" s="103">
        <f>F16+F20+F25+F32+F41</f>
        <v>107.85997304999999</v>
      </c>
      <c r="G47" s="103">
        <f>G16+G20+G25+G32+G41</f>
        <v>557.27652742500004</v>
      </c>
      <c r="H47" s="103">
        <f>H16+H20+H25+H32+H41</f>
        <v>125.58344280000001</v>
      </c>
    </row>
    <row r="48" spans="2:8" ht="15">
      <c r="B48" s="101"/>
      <c r="C48" s="102" t="s">
        <v>56</v>
      </c>
      <c r="D48" s="103">
        <f>D14+D15+D20+D30+D31+D29+D36</f>
        <v>448.54964437500001</v>
      </c>
      <c r="E48" s="103">
        <f>E14+E15+E20+E29+E30+E31+E36</f>
        <v>101.08161</v>
      </c>
      <c r="F48" s="103">
        <f>F14+F15+F20+F29+F30+F31+F36</f>
        <v>107.65191464999999</v>
      </c>
      <c r="G48" s="103">
        <f>G14+G15+G20+G29+G30+G31+G36</f>
        <v>556.20155902500005</v>
      </c>
      <c r="H48" s="103">
        <f>H14+H15+H20+H29+H30+H31+H36</f>
        <v>125.34119640000002</v>
      </c>
    </row>
  </sheetData>
  <mergeCells count="19">
    <mergeCell ref="B43:H43"/>
    <mergeCell ref="C11:H11"/>
    <mergeCell ref="C12:H12"/>
    <mergeCell ref="B17:H17"/>
    <mergeCell ref="B18:H18"/>
    <mergeCell ref="B21:H21"/>
    <mergeCell ref="B22:H22"/>
    <mergeCell ref="B26:H26"/>
    <mergeCell ref="B27:H27"/>
    <mergeCell ref="B33:H33"/>
    <mergeCell ref="B34:H34"/>
    <mergeCell ref="B42:H42"/>
    <mergeCell ref="C1:G3"/>
    <mergeCell ref="B4:F4"/>
    <mergeCell ref="B8:B10"/>
    <mergeCell ref="C8:C10"/>
    <mergeCell ref="D8:E9"/>
    <mergeCell ref="F8:F9"/>
    <mergeCell ref="G8:H9"/>
  </mergeCells>
  <phoneticPr fontId="0" type="noConversion"/>
  <pageMargins left="0.59027777777777779" right="0.19652777777777777" top="0.78749999999999998" bottom="0.78749999999999998" header="0.51111111111111107" footer="0.51111111111111107"/>
  <pageSetup paperSize="9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19</vt:i4>
      </vt:variant>
    </vt:vector>
  </HeadingPairs>
  <TitlesOfParts>
    <vt:vector size="53" baseType="lpstr">
      <vt:lpstr>Podetului</vt:lpstr>
      <vt:lpstr>Grigore Balan</vt:lpstr>
      <vt:lpstr>Stadionului</vt:lpstr>
      <vt:lpstr>Castanilor</vt:lpstr>
      <vt:lpstr>Primaverii</vt:lpstr>
      <vt:lpstr>Romulus Cioflec</vt:lpstr>
      <vt:lpstr>N.Colan</vt:lpstr>
      <vt:lpstr>Nicolae Iorga</vt:lpstr>
      <vt:lpstr>Cartier Oltului</vt:lpstr>
      <vt:lpstr>Oltului</vt:lpstr>
      <vt:lpstr>Bisericii</vt:lpstr>
      <vt:lpstr>Korosi cs Sandor</vt:lpstr>
      <vt:lpstr>Szekely Gyorgy</vt:lpstr>
      <vt:lpstr>Vasile Goldis</vt:lpstr>
      <vt:lpstr>Libertatii</vt:lpstr>
      <vt:lpstr>Lacramioarei</vt:lpstr>
      <vt:lpstr>Puskas Tivadar</vt:lpstr>
      <vt:lpstr>Narciselor</vt:lpstr>
      <vt:lpstr>Podului</vt:lpstr>
      <vt:lpstr>Daliei</vt:lpstr>
      <vt:lpstr>1 Decembrie 1918</vt:lpstr>
      <vt:lpstr>Ciucului</vt:lpstr>
      <vt:lpstr>Nuferilor</vt:lpstr>
      <vt:lpstr>David Feerencz</vt:lpstr>
      <vt:lpstr>Caminului</vt:lpstr>
      <vt:lpstr>Pescarilor</vt:lpstr>
      <vt:lpstr>Oltului 35</vt:lpstr>
      <vt:lpstr>Gabor Aron</vt:lpstr>
      <vt:lpstr>Cartier Simeria</vt:lpstr>
      <vt:lpstr>Cinepei</vt:lpstr>
      <vt:lpstr>Orko</vt:lpstr>
      <vt:lpstr>Debren</vt:lpstr>
      <vt:lpstr>Bartalis Ferencz</vt:lpstr>
      <vt:lpstr>Orban Balasz</vt:lpstr>
      <vt:lpstr>'Bartalis Ferencz'!Print_Area</vt:lpstr>
      <vt:lpstr>Bisericii!Print_Area</vt:lpstr>
      <vt:lpstr>Caminului!Print_Area</vt:lpstr>
      <vt:lpstr>'Cartier Simeria'!Print_Area</vt:lpstr>
      <vt:lpstr>Cinepei!Print_Area</vt:lpstr>
      <vt:lpstr>Ciucului!Print_Area</vt:lpstr>
      <vt:lpstr>Debren!Print_Area</vt:lpstr>
      <vt:lpstr>'Gabor Aron'!Print_Area</vt:lpstr>
      <vt:lpstr>N.Colan!Print_Area</vt:lpstr>
      <vt:lpstr>Oltului!Print_Area</vt:lpstr>
      <vt:lpstr>'Oltului 35'!Print_Area</vt:lpstr>
      <vt:lpstr>'Orban Balasz'!Print_Area</vt:lpstr>
      <vt:lpstr>Orko!Print_Area</vt:lpstr>
      <vt:lpstr>Pescarilor!Print_Area</vt:lpstr>
      <vt:lpstr>Podetului!Print_Area</vt:lpstr>
      <vt:lpstr>Primaverii!Print_Area</vt:lpstr>
      <vt:lpstr>'Romulus Cioflec'!Print_Area</vt:lpstr>
      <vt:lpstr>Stadionului!Print_Area</vt:lpstr>
      <vt:lpstr>'Vasile Goldis'!Print_Area</vt:lpstr>
    </vt:vector>
  </TitlesOfParts>
  <Company>org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czimbalmos.csaba</cp:lastModifiedBy>
  <cp:revision/>
  <cp:lastPrinted>2016-11-18T12:15:14Z</cp:lastPrinted>
  <dcterms:created xsi:type="dcterms:W3CDTF">2007-06-06T08:21:40Z</dcterms:created>
  <dcterms:modified xsi:type="dcterms:W3CDTF">2016-12-09T11:33:36Z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1033-8.1.0.3375</vt:lpwstr>
  </property>
</Properties>
</file>